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60" windowWidth="9450" windowHeight="5025" tabRatio="863" activeTab="0"/>
  </bookViews>
  <sheets>
    <sheet name="Generación total" sheetId="1" r:id="rId1"/>
    <sheet name="Estimación vidrio" sheetId="2" r:id="rId2"/>
    <sheet name="Estimación papel" sheetId="3" r:id="rId3"/>
    <sheet name="Estimación envases" sheetId="4" r:id="rId4"/>
    <sheet name="Costes" sheetId="5" r:id="rId5"/>
    <sheet name="Amortización contenedores" sheetId="6" r:id="rId6"/>
    <sheet name="Cuadro resumen" sheetId="7" r:id="rId7"/>
  </sheets>
  <definedNames/>
  <calcPr fullCalcOnLoad="1"/>
</workbook>
</file>

<file path=xl/sharedStrings.xml><?xml version="1.0" encoding="utf-8"?>
<sst xmlns="http://schemas.openxmlformats.org/spreadsheetml/2006/main" count="142" uniqueCount="85">
  <si>
    <t>Municipio</t>
  </si>
  <si>
    <t>Vidre</t>
  </si>
  <si>
    <t>Paper i cartró</t>
  </si>
  <si>
    <t>Envasos lleugers</t>
  </si>
  <si>
    <t>BARCELONA</t>
  </si>
  <si>
    <t>Padrón 2005</t>
  </si>
  <si>
    <t>Kg/hab/dia</t>
  </si>
  <si>
    <t>costes bcn total</t>
  </si>
  <si>
    <t>r</t>
  </si>
  <si>
    <t>beta</t>
  </si>
  <si>
    <t>R2</t>
  </si>
  <si>
    <t>x</t>
  </si>
  <si>
    <t>y</t>
  </si>
  <si>
    <t>r^2</t>
  </si>
  <si>
    <t xml:space="preserve">% vidreo sobre total </t>
  </si>
  <si>
    <t>x-xbar</t>
  </si>
  <si>
    <t>y-ybar</t>
  </si>
  <si>
    <t>suma</t>
  </si>
  <si>
    <t>f*g</t>
  </si>
  <si>
    <t>alfa</t>
  </si>
  <si>
    <t xml:space="preserve">alfa </t>
  </si>
  <si>
    <t>estimación según tendencia lineal</t>
  </si>
  <si>
    <t>vidrio</t>
  </si>
  <si>
    <t>papel</t>
  </si>
  <si>
    <t>envases</t>
  </si>
  <si>
    <t>Vidrio</t>
  </si>
  <si>
    <t>% papel sobre el total</t>
  </si>
  <si>
    <t>% envases sobre total</t>
  </si>
  <si>
    <t>NÚMERO DE CONTENEDORES</t>
  </si>
  <si>
    <t>X</t>
  </si>
  <si>
    <t>Y</t>
  </si>
  <si>
    <t>(X-XBAR)*(Y-YBAR)</t>
  </si>
  <si>
    <t>Correlación</t>
  </si>
  <si>
    <t>(y-yabr)*(x-xbar)</t>
  </si>
  <si>
    <t>(X-XBAR)^2</t>
  </si>
  <si>
    <t>(x-xbar)^2</t>
  </si>
  <si>
    <t>medias</t>
  </si>
  <si>
    <t>media</t>
  </si>
  <si>
    <t>f^2</t>
  </si>
  <si>
    <t>Recogida anual(t)</t>
  </si>
  <si>
    <t xml:space="preserve">quantitat de tones </t>
  </si>
  <si>
    <t>camiones de vidrio necesarios (2 rutas al día)</t>
  </si>
  <si>
    <t>costes fijos de recogida (camion mas caja)</t>
  </si>
  <si>
    <t>coste gasóleo</t>
  </si>
  <si>
    <t>coste salarial</t>
  </si>
  <si>
    <t>coste de una recorrido</t>
  </si>
  <si>
    <t>Coste amortización de los contenedores</t>
  </si>
  <si>
    <t>coste de todo un dia</t>
  </si>
  <si>
    <t>coste anual</t>
  </si>
  <si>
    <t>CÁLCULO COSTES REALES 2005</t>
  </si>
  <si>
    <t xml:space="preserve"> que es recolleix diariament (kg)</t>
  </si>
  <si>
    <t>300kg/m^3 · 15m^3</t>
  </si>
  <si>
    <t xml:space="preserve">vidrio </t>
  </si>
  <si>
    <t>papel carton</t>
  </si>
  <si>
    <t>envases ligeros</t>
  </si>
  <si>
    <t>Cálculo 2007 escenario 1</t>
  </si>
  <si>
    <t>Cálculo 2007 escenario 2</t>
  </si>
  <si>
    <t>Variaciones</t>
  </si>
  <si>
    <t>Comparación escenario 1 con 2005</t>
  </si>
  <si>
    <t>Comparación escenario 2 con 2005</t>
  </si>
  <si>
    <t>Comparación escenarios 1-2</t>
  </si>
  <si>
    <t>CÁLCULO COSTE AMORTIZACIÓN CONTENEDORES</t>
  </si>
  <si>
    <t>total</t>
  </si>
  <si>
    <t>numero de contenedores</t>
  </si>
  <si>
    <t>precio unitario</t>
  </si>
  <si>
    <t>valor total</t>
  </si>
  <si>
    <t>años amortización</t>
  </si>
  <si>
    <t>amortización anual</t>
  </si>
  <si>
    <t>dias recogida por año</t>
  </si>
  <si>
    <t>amortización por dia</t>
  </si>
  <si>
    <t>2007 escenario 2</t>
  </si>
  <si>
    <t>amortización diaria</t>
  </si>
  <si>
    <t>envasos</t>
  </si>
  <si>
    <t>Datos oficiales</t>
  </si>
  <si>
    <t>Nuestra aproximación</t>
  </si>
  <si>
    <t>Generación total</t>
  </si>
  <si>
    <t>Selectiva + fracción resta</t>
  </si>
  <si>
    <t>Aumento %</t>
  </si>
  <si>
    <t>Aumento (t)</t>
  </si>
  <si>
    <t>Aumento costes (€)</t>
  </si>
  <si>
    <t>Papel</t>
  </si>
  <si>
    <t>Envases</t>
  </si>
  <si>
    <t>estimación gen. total</t>
  </si>
  <si>
    <t xml:space="preserve">COSTES TOTALES </t>
  </si>
  <si>
    <t>NUESTRA APROXIMACIÓN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</si>
</sst>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0000\ _€_-;\-* #,##0.00000\ _€_-;_-* &quot;-&quot;??\ _€_-;_-@_-"/>
    <numFmt numFmtId="190" formatCode="_-* #,##0.000000\ _€_-;\-* #,##0.000000\ _€_-;_-* &quot;-&quot;??\ _€_-;_-@_-"/>
    <numFmt numFmtId="191" formatCode="_-* #,##0.0000000\ _€_-;\-* #,##0.0000000\ _€_-;_-* &quot;-&quot;??\ _€_-;_-@_-"/>
    <numFmt numFmtId="192" formatCode="_-* #,##0.00000000\ _€_-;\-* #,##0.00000000\ _€_-;_-* &quot;-&quot;??\ _€_-;_-@_-"/>
    <numFmt numFmtId="193" formatCode="_-* #,##0.000000000\ _€_-;\-* #,##0.000000000\ _€_-;_-* &quot;-&quot;??\ _€_-;_-@_-"/>
    <numFmt numFmtId="194" formatCode="_-* #,##0.0000000000\ _€_-;\-* #,##0.0000000000\ _€_-;_-* &quot;-&quot;??\ _€_-;_-@_-"/>
    <numFmt numFmtId="195" formatCode="_-* #,##0.000000000\ _€_-;\-* #,##0.000000000\ _€_-;_-* &quot;-&quot;?????????\ _€_-;_-@_-"/>
    <numFmt numFmtId="196" formatCode="_-* #,##0.00000000\ _€_-;\-* #,##0.00000000\ _€_-;_-* &quot;-&quot;????????\ _€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6">
    <font>
      <sz val="10"/>
      <name val="Arial"/>
      <family val="0"/>
    </font>
    <font>
      <sz val="8"/>
      <color indexed="9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93" fontId="0" fillId="0" borderId="0" xfId="17" applyNumberFormat="1" applyAlignment="1">
      <alignment/>
    </xf>
    <xf numFmtId="193" fontId="0" fillId="0" borderId="0" xfId="17" applyNumberFormat="1" applyAlignment="1">
      <alignment horizontal="right"/>
    </xf>
    <xf numFmtId="0" fontId="0" fillId="0" borderId="1" xfId="0" applyBorder="1" applyAlignment="1">
      <alignment/>
    </xf>
    <xf numFmtId="196" fontId="0" fillId="0" borderId="0" xfId="0" applyNumberFormat="1" applyAlignment="1">
      <alignment/>
    </xf>
    <xf numFmtId="43" fontId="0" fillId="0" borderId="0" xfId="17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horizontal="justify" vertical="justify"/>
    </xf>
    <xf numFmtId="2" fontId="0" fillId="0" borderId="0" xfId="0" applyNumberFormat="1" applyFont="1" applyAlignment="1">
      <alignment horizontal="center"/>
    </xf>
    <xf numFmtId="9" fontId="0" fillId="2" borderId="2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0" fillId="3" borderId="2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vertical="top" wrapText="1"/>
    </xf>
    <xf numFmtId="10" fontId="2" fillId="4" borderId="1" xfId="21" applyNumberFormat="1" applyFont="1" applyFill="1" applyBorder="1" applyAlignment="1">
      <alignment horizontal="right" vertical="top" wrapText="1"/>
    </xf>
    <xf numFmtId="3" fontId="0" fillId="4" borderId="1" xfId="0" applyNumberFormat="1" applyFill="1" applyBorder="1" applyAlignment="1">
      <alignment/>
    </xf>
    <xf numFmtId="181" fontId="0" fillId="0" borderId="1" xfId="21" applyNumberFormat="1" applyBorder="1" applyAlignment="1">
      <alignment/>
    </xf>
    <xf numFmtId="3" fontId="0" fillId="0" borderId="1" xfId="0" applyNumberFormat="1" applyFill="1" applyBorder="1" applyAlignment="1">
      <alignment/>
    </xf>
    <xf numFmtId="17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/>
    </xf>
    <xf numFmtId="181" fontId="0" fillId="4" borderId="1" xfId="21" applyNumberFormat="1" applyFill="1" applyBorder="1" applyAlignment="1">
      <alignment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3" fontId="0" fillId="5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3" fontId="2" fillId="5" borderId="1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justify" vertical="justify" wrapText="1"/>
    </xf>
    <xf numFmtId="0" fontId="13" fillId="0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 wrapText="1"/>
    </xf>
    <xf numFmtId="10" fontId="0" fillId="0" borderId="1" xfId="21" applyNumberFormat="1" applyBorder="1" applyAlignment="1">
      <alignment/>
    </xf>
    <xf numFmtId="0" fontId="2" fillId="2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right"/>
    </xf>
    <xf numFmtId="192" fontId="0" fillId="0" borderId="1" xfId="17" applyNumberFormat="1" applyBorder="1" applyAlignment="1">
      <alignment horizontal="right"/>
    </xf>
    <xf numFmtId="181" fontId="0" fillId="0" borderId="1" xfId="21" applyNumberFormat="1" applyFill="1" applyBorder="1" applyAlignment="1">
      <alignment/>
    </xf>
    <xf numFmtId="181" fontId="0" fillId="0" borderId="1" xfId="0" applyNumberFormat="1" applyBorder="1" applyAlignment="1">
      <alignment/>
    </xf>
    <xf numFmtId="181" fontId="2" fillId="0" borderId="1" xfId="21" applyNumberFormat="1" applyFont="1" applyFill="1" applyBorder="1" applyAlignment="1">
      <alignment horizontal="right" vertical="top" wrapText="1"/>
    </xf>
    <xf numFmtId="181" fontId="0" fillId="0" borderId="0" xfId="21" applyNumberFormat="1" applyBorder="1" applyAlignment="1">
      <alignment/>
    </xf>
    <xf numFmtId="194" fontId="0" fillId="0" borderId="1" xfId="17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justify" vertical="justify"/>
    </xf>
    <xf numFmtId="0" fontId="13" fillId="0" borderId="1" xfId="0" applyFont="1" applyBorder="1" applyAlignment="1">
      <alignment horizontal="justify" vertical="justify"/>
    </xf>
    <xf numFmtId="0" fontId="13" fillId="0" borderId="1" xfId="0" applyFont="1" applyBorder="1" applyAlignment="1">
      <alignment horizontal="center"/>
    </xf>
    <xf numFmtId="4" fontId="2" fillId="5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justify"/>
    </xf>
    <xf numFmtId="0" fontId="13" fillId="0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7" borderId="1" xfId="0" applyFont="1" applyFill="1" applyBorder="1" applyAlignment="1">
      <alignment horizontal="justify" vertical="justify"/>
    </xf>
    <xf numFmtId="0" fontId="0" fillId="0" borderId="3" xfId="0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1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3" borderId="8" xfId="0" applyFill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justify" vertical="justify"/>
    </xf>
    <xf numFmtId="0" fontId="13" fillId="8" borderId="1" xfId="0" applyFont="1" applyFill="1" applyBorder="1" applyAlignment="1">
      <alignment horizontal="justify" vertical="justify"/>
    </xf>
    <xf numFmtId="0" fontId="13" fillId="9" borderId="1" xfId="0" applyFont="1" applyFill="1" applyBorder="1" applyAlignment="1">
      <alignment horizontal="justify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575"/>
          <c:w val="0.9277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'Generación total'!$B$41:$B$48</c:f>
              <c:numCache/>
            </c:numRef>
          </c:xVal>
          <c:yVal>
            <c:numRef>
              <c:f>'Generación total'!$C$41:$C$48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'Generación total'!$B$49</c:f>
              <c:numCache/>
            </c:numRef>
          </c:xVal>
          <c:yVal>
            <c:numRef>
              <c:f>'Generación total'!$C$49</c:f>
              <c:numCache/>
            </c:numRef>
          </c:yVal>
          <c:smooth val="0"/>
        </c:ser>
        <c:axId val="2161186"/>
        <c:axId val="19450675"/>
      </c:scatterChart>
      <c:val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</c:valAx>
      <c:valAx>
        <c:axId val="19450675"/>
        <c:scaling>
          <c:orientation val="minMax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Relación entre el número de contenedores y la cantidad recogida de vidrio por 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vidrio'!$E$4:$E$11</c:f>
              <c:numCache/>
            </c:numRef>
          </c:xVal>
          <c:yVal>
            <c:numRef>
              <c:f>'Estimación vidrio'!$D$4:$D$11</c:f>
              <c:numCache/>
            </c:numRef>
          </c:yVal>
          <c:smooth val="0"/>
        </c:ser>
        <c:axId val="40838348"/>
        <c:axId val="32000813"/>
      </c:scatterChart>
      <c:valAx>
        <c:axId val="40838348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contenedores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crossBetween val="midCat"/>
        <c:dispUnits/>
      </c:valAx>
      <c:valAx>
        <c:axId val="32000813"/>
        <c:scaling>
          <c:orientation val="minMax"/>
          <c:max val="0.025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vidrio (RS) sobre el total recogido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vidrio'!$E$41:$E$48</c:f>
              <c:numCache/>
            </c:numRef>
          </c:xVal>
          <c:yVal>
            <c:numRef>
              <c:f>'Estimación vidrio'!$D$41:$D$48</c:f>
              <c:numCache/>
            </c:numRef>
          </c:yVal>
          <c:smooth val="0"/>
        </c:ser>
        <c:axId val="19571862"/>
        <c:axId val="41929031"/>
      </c:scatterChart>
      <c:valAx>
        <c:axId val="19571862"/>
        <c:scaling>
          <c:orientation val="minMax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crossBetween val="midCat"/>
        <c:dispUnits/>
      </c:val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Vidrio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vidrio'!$E$4:$E$11</c:f>
              <c:numCache/>
            </c:numRef>
          </c:xVal>
          <c:yVal>
            <c:numRef>
              <c:f>'Estimación vidrio'!$D$4:$D$11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'Estimación vidrio'!$E$13</c:f>
              <c:numCache/>
            </c:numRef>
          </c:xVal>
          <c:yVal>
            <c:numRef>
              <c:f>'Estimación vidrio'!$D$13</c:f>
              <c:numCache/>
            </c:numRef>
          </c:yVal>
          <c:smooth val="0"/>
        </c:ser>
        <c:axId val="41816960"/>
        <c:axId val="40808321"/>
      </c:scatterChart>
      <c:valAx>
        <c:axId val="41816960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contenedores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crossBetween val="midCat"/>
        <c:dispUnits/>
      </c:valAx>
      <c:valAx>
        <c:axId val="40808321"/>
        <c:scaling>
          <c:orientation val="minMax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Relación entre el número de contenedores y la cantidad recogida(PAPEL-CARTÓN)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papel'!$D$4:$D$11</c:f>
              <c:numCache/>
            </c:numRef>
          </c:xVal>
          <c:yVal>
            <c:numRef>
              <c:f>'Estimación papel'!$E$4:$E$11</c:f>
              <c:numCache/>
            </c:numRef>
          </c:yVal>
          <c:smooth val="0"/>
        </c:ser>
        <c:axId val="31730570"/>
        <c:axId val="17139675"/>
      </c:scatterChart>
      <c:valAx>
        <c:axId val="31730570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Número contenedores 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39675"/>
        <c:crosses val="autoZero"/>
        <c:crossBetween val="midCat"/>
        <c:dispUnits/>
      </c:valAx>
      <c:valAx>
        <c:axId val="17139675"/>
        <c:scaling>
          <c:orientation val="minMax"/>
          <c:max val="0.1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% papel (RS) sobre total resduos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Papel-cartón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papel'!$D$4:$D$11</c:f>
              <c:numCache/>
            </c:numRef>
          </c:xVal>
          <c:yVal>
            <c:numRef>
              <c:f>'Estimación papel'!$E$4:$E$11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'Estimación papel'!$D$14</c:f>
              <c:numCache/>
            </c:numRef>
          </c:xVal>
          <c:yVal>
            <c:numRef>
              <c:f>'Estimación papel'!$E$14</c:f>
              <c:numCache/>
            </c:numRef>
          </c:yVal>
          <c:smooth val="0"/>
        </c:ser>
        <c:axId val="20039348"/>
        <c:axId val="46136405"/>
      </c:scatterChart>
      <c:val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contenedores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6405"/>
        <c:crosses val="autoZero"/>
        <c:crossBetween val="midCat"/>
        <c:dispUnits/>
      </c:val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%RS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Relación entre el número de contenedores y la cantidad recogida(envases ligeros)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'Estimación envases'!$E$16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envases'!$D$5:$D$12</c:f>
              <c:numCache/>
            </c:numRef>
          </c:xVal>
          <c:yVal>
            <c:numRef>
              <c:f>'Estimación envases'!$E$5:$E$12</c:f>
              <c:numCache/>
            </c:numRef>
          </c:yVal>
          <c:smooth val="0"/>
        </c:ser>
        <c:axId val="12574462"/>
        <c:axId val="46061295"/>
      </c:scatterChart>
      <c:valAx>
        <c:axId val="12574462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contenedores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crossBetween val="midCat"/>
        <c:dispUnits/>
      </c:valAx>
      <c:valAx>
        <c:axId val="46061295"/>
        <c:scaling>
          <c:orientation val="minMax"/>
          <c:max val="0.015"/>
          <c:min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envases (RS) sobre el total de resduos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Envases ligeros</a:t>
            </a:r>
          </a:p>
        </c:rich>
      </c:tx>
      <c:layout>
        <c:manualLayout>
          <c:xMode val="factor"/>
          <c:yMode val="factor"/>
          <c:x val="-0.006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835"/>
          <c:w val="0.7492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'Estimación envases'!$D$5:$D$12</c:f>
              <c:numCache/>
            </c:numRef>
          </c:xVal>
          <c:yVal>
            <c:numRef>
              <c:f>'Estimación envases'!$E$5:$E$12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'Estimación envases'!$D$15</c:f>
              <c:numCache/>
            </c:numRef>
          </c:xVal>
          <c:yVal>
            <c:numRef>
              <c:f>'Estimación envases'!$E$15</c:f>
              <c:numCache/>
            </c:numRef>
          </c:yVal>
          <c:smooth val="0"/>
        </c:ser>
        <c:axId val="11898472"/>
        <c:axId val="39977385"/>
      </c:scatterChart>
      <c:valAx>
        <c:axId val="11898472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contenedores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7385"/>
        <c:crosses val="autoZero"/>
        <c:crossBetween val="midCat"/>
        <c:dispUnits/>
      </c:valAx>
      <c:valAx>
        <c:axId val="39977385"/>
        <c:scaling>
          <c:orientation val="minMax"/>
          <c:min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50</xdr:row>
      <xdr:rowOff>104775</xdr:rowOff>
    </xdr:from>
    <xdr:to>
      <xdr:col>9</xdr:col>
      <xdr:colOff>685800</xdr:colOff>
      <xdr:row>65</xdr:row>
      <xdr:rowOff>142875</xdr:rowOff>
    </xdr:to>
    <xdr:graphicFrame>
      <xdr:nvGraphicFramePr>
        <xdr:cNvPr id="1" name="Chart 3"/>
        <xdr:cNvGraphicFramePr/>
      </xdr:nvGraphicFramePr>
      <xdr:xfrm>
        <a:off x="838200" y="10544175"/>
        <a:ext cx="68865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</xdr:row>
      <xdr:rowOff>76200</xdr:rowOff>
    </xdr:from>
    <xdr:to>
      <xdr:col>5</xdr:col>
      <xdr:colOff>190500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57225" y="2343150"/>
        <a:ext cx="3543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50</xdr:row>
      <xdr:rowOff>47625</xdr:rowOff>
    </xdr:from>
    <xdr:to>
      <xdr:col>7</xdr:col>
      <xdr:colOff>685800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1143000" y="8143875"/>
        <a:ext cx="50768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514350</xdr:colOff>
      <xdr:row>14</xdr:row>
      <xdr:rowOff>95250</xdr:rowOff>
    </xdr:from>
    <xdr:to>
      <xdr:col>10</xdr:col>
      <xdr:colOff>38100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4524375" y="2362200"/>
        <a:ext cx="3533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19050</xdr:rowOff>
    </xdr:from>
    <xdr:to>
      <xdr:col>5</xdr:col>
      <xdr:colOff>581025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876300" y="2838450"/>
        <a:ext cx="3257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17</xdr:row>
      <xdr:rowOff>19050</xdr:rowOff>
    </xdr:from>
    <xdr:to>
      <xdr:col>10</xdr:col>
      <xdr:colOff>495300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4543425" y="2838450"/>
        <a:ext cx="33147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114300</xdr:rowOff>
    </xdr:from>
    <xdr:to>
      <xdr:col>6</xdr:col>
      <xdr:colOff>361950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28600" y="3028950"/>
        <a:ext cx="37909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</xdr:row>
      <xdr:rowOff>104775</xdr:rowOff>
    </xdr:from>
    <xdr:to>
      <xdr:col>12</xdr:col>
      <xdr:colOff>276225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4257675" y="3019425"/>
        <a:ext cx="3924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7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2" max="2" width="14.28125" style="0" bestFit="1" customWidth="1"/>
    <col min="5" max="5" width="12.57421875" style="0" bestFit="1" customWidth="1"/>
    <col min="8" max="8" width="13.00390625" style="0" customWidth="1"/>
    <col min="9" max="9" width="8.57421875" style="0" customWidth="1"/>
    <col min="10" max="10" width="12.28125" style="0" customWidth="1"/>
    <col min="18" max="18" width="17.7109375" style="0" bestFit="1" customWidth="1"/>
    <col min="19" max="19" width="13.8515625" style="0" bestFit="1" customWidth="1"/>
    <col min="20" max="20" width="24.140625" style="0" bestFit="1" customWidth="1"/>
    <col min="21" max="22" width="12.00390625" style="0" bestFit="1" customWidth="1"/>
  </cols>
  <sheetData>
    <row r="3" spans="2:12" ht="12.75"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29.25" customHeight="1">
      <c r="B4" s="6"/>
      <c r="C4" s="101" t="s">
        <v>0</v>
      </c>
      <c r="D4" s="101" t="s">
        <v>5</v>
      </c>
      <c r="E4" s="101" t="s">
        <v>1</v>
      </c>
      <c r="F4" s="101" t="s">
        <v>2</v>
      </c>
      <c r="G4" s="101" t="s">
        <v>3</v>
      </c>
      <c r="H4" s="44" t="s">
        <v>75</v>
      </c>
      <c r="I4" s="101" t="s">
        <v>6</v>
      </c>
      <c r="J4" s="6"/>
      <c r="K4" s="6"/>
      <c r="L4" s="6"/>
    </row>
    <row r="5" spans="2:12" ht="22.5">
      <c r="B5" s="6"/>
      <c r="C5" s="101"/>
      <c r="D5" s="101"/>
      <c r="E5" s="101"/>
      <c r="F5" s="101"/>
      <c r="G5" s="101"/>
      <c r="H5" s="44" t="s">
        <v>76</v>
      </c>
      <c r="I5" s="101"/>
      <c r="J5" s="44" t="s">
        <v>14</v>
      </c>
      <c r="K5" s="44" t="s">
        <v>26</v>
      </c>
      <c r="L5" s="44" t="s">
        <v>27</v>
      </c>
    </row>
    <row r="6" spans="2:12" ht="12.75">
      <c r="B6" s="6">
        <v>2005</v>
      </c>
      <c r="C6" s="49" t="s">
        <v>4</v>
      </c>
      <c r="D6" s="33">
        <v>1593075</v>
      </c>
      <c r="E6" s="30">
        <v>23859.4</v>
      </c>
      <c r="F6" s="30">
        <v>79257.19</v>
      </c>
      <c r="G6" s="30">
        <v>12661.24</v>
      </c>
      <c r="H6" s="30">
        <v>874970.3</v>
      </c>
      <c r="I6" s="50">
        <v>1.5</v>
      </c>
      <c r="J6" s="51">
        <f aca="true" t="shared" si="0" ref="J6:L13">E6/$H6</f>
        <v>0.02726881129565198</v>
      </c>
      <c r="K6" s="51">
        <f t="shared" si="0"/>
        <v>0.09058272035062219</v>
      </c>
      <c r="L6" s="51">
        <f t="shared" si="0"/>
        <v>0.014470479740855203</v>
      </c>
    </row>
    <row r="7" spans="2:12" ht="12.75">
      <c r="B7" s="6">
        <v>2004</v>
      </c>
      <c r="C7" s="49" t="s">
        <v>4</v>
      </c>
      <c r="D7" s="33">
        <v>1578546</v>
      </c>
      <c r="E7" s="30">
        <v>21906.08</v>
      </c>
      <c r="F7" s="30">
        <v>65163</v>
      </c>
      <c r="G7" s="30">
        <v>11696</v>
      </c>
      <c r="H7" s="30">
        <v>891875.1</v>
      </c>
      <c r="I7" s="50">
        <v>1.55</v>
      </c>
      <c r="J7" s="51">
        <f t="shared" si="0"/>
        <v>0.02456182485641768</v>
      </c>
      <c r="K7" s="51">
        <f t="shared" si="0"/>
        <v>0.07306292103008594</v>
      </c>
      <c r="L7" s="51">
        <f t="shared" si="0"/>
        <v>0.01311394386949473</v>
      </c>
    </row>
    <row r="8" spans="2:12" ht="12.75">
      <c r="B8" s="6">
        <v>2003</v>
      </c>
      <c r="C8" s="49" t="s">
        <v>4</v>
      </c>
      <c r="D8" s="33">
        <v>1582738</v>
      </c>
      <c r="E8" s="30">
        <v>20153.47</v>
      </c>
      <c r="F8" s="30">
        <v>57200</v>
      </c>
      <c r="G8" s="30">
        <v>10644.02</v>
      </c>
      <c r="H8" s="30">
        <v>868324.5</v>
      </c>
      <c r="I8" s="50">
        <v>1.5</v>
      </c>
      <c r="J8" s="51">
        <f t="shared" si="0"/>
        <v>0.023209606546861227</v>
      </c>
      <c r="K8" s="51">
        <f t="shared" si="0"/>
        <v>0.06587399065671877</v>
      </c>
      <c r="L8" s="51">
        <f t="shared" si="0"/>
        <v>0.012258113182341395</v>
      </c>
    </row>
    <row r="9" spans="2:12" ht="12.75">
      <c r="B9" s="6">
        <v>2002</v>
      </c>
      <c r="C9" s="49" t="s">
        <v>4</v>
      </c>
      <c r="D9" s="33">
        <v>1503884</v>
      </c>
      <c r="E9" s="30">
        <v>18004.94</v>
      </c>
      <c r="F9" s="30">
        <v>52323</v>
      </c>
      <c r="G9" s="30">
        <v>9444.77</v>
      </c>
      <c r="H9" s="30">
        <v>797101.9</v>
      </c>
      <c r="I9" s="50">
        <v>1.45</v>
      </c>
      <c r="J9" s="51">
        <f t="shared" si="0"/>
        <v>0.022588002863874742</v>
      </c>
      <c r="K9" s="51">
        <f t="shared" si="0"/>
        <v>0.065641544700872</v>
      </c>
      <c r="L9" s="51">
        <f t="shared" si="0"/>
        <v>0.011848886572720502</v>
      </c>
    </row>
    <row r="10" spans="2:12" ht="12.75">
      <c r="B10" s="6">
        <v>2001</v>
      </c>
      <c r="C10" s="49" t="s">
        <v>4</v>
      </c>
      <c r="D10" s="33">
        <v>1508805</v>
      </c>
      <c r="E10" s="30">
        <v>16773.79</v>
      </c>
      <c r="F10" s="30">
        <v>51031</v>
      </c>
      <c r="G10" s="30">
        <v>8092.73</v>
      </c>
      <c r="H10" s="30">
        <v>746431.1</v>
      </c>
      <c r="I10" s="50">
        <v>1.36</v>
      </c>
      <c r="J10" s="51">
        <f t="shared" si="0"/>
        <v>0.022471987032694648</v>
      </c>
      <c r="K10" s="51">
        <f t="shared" si="0"/>
        <v>0.06836665835600901</v>
      </c>
      <c r="L10" s="51">
        <f t="shared" si="0"/>
        <v>0.010841898200651071</v>
      </c>
    </row>
    <row r="11" spans="2:12" ht="12.75">
      <c r="B11" s="6">
        <v>2000</v>
      </c>
      <c r="C11" s="49" t="s">
        <v>4</v>
      </c>
      <c r="D11" s="33">
        <v>1508805</v>
      </c>
      <c r="E11" s="30">
        <v>15141.69</v>
      </c>
      <c r="F11" s="30">
        <v>28668</v>
      </c>
      <c r="G11" s="30">
        <v>6382</v>
      </c>
      <c r="H11" s="30">
        <v>753891.3</v>
      </c>
      <c r="I11" s="50">
        <v>1.37</v>
      </c>
      <c r="J11" s="51">
        <f t="shared" si="0"/>
        <v>0.020084712477780285</v>
      </c>
      <c r="K11" s="51">
        <f t="shared" si="0"/>
        <v>0.038026702258004565</v>
      </c>
      <c r="L11" s="51">
        <f t="shared" si="0"/>
        <v>0.008465411392862604</v>
      </c>
    </row>
    <row r="12" spans="2:12" ht="12.75">
      <c r="B12" s="6">
        <v>1999</v>
      </c>
      <c r="C12" s="49" t="s">
        <v>4</v>
      </c>
      <c r="D12" s="33">
        <v>1508805</v>
      </c>
      <c r="E12" s="30">
        <v>13908.01</v>
      </c>
      <c r="F12" s="30">
        <v>24320.61</v>
      </c>
      <c r="G12" s="30">
        <v>5393.25</v>
      </c>
      <c r="H12" s="30">
        <v>744064.1</v>
      </c>
      <c r="I12" s="50">
        <v>1.35</v>
      </c>
      <c r="J12" s="51">
        <f t="shared" si="0"/>
        <v>0.018691951405799583</v>
      </c>
      <c r="K12" s="51">
        <f t="shared" si="0"/>
        <v>0.03268617582813094</v>
      </c>
      <c r="L12" s="51">
        <f t="shared" si="0"/>
        <v>0.00724836744576173</v>
      </c>
    </row>
    <row r="13" spans="2:12" ht="12.75">
      <c r="B13" s="6">
        <v>1998</v>
      </c>
      <c r="C13" s="49" t="s">
        <v>4</v>
      </c>
      <c r="D13" s="33">
        <v>1508805</v>
      </c>
      <c r="E13" s="30">
        <v>12519.83</v>
      </c>
      <c r="F13" s="30">
        <v>16275.14</v>
      </c>
      <c r="G13" s="30">
        <v>4234.49</v>
      </c>
      <c r="H13" s="30">
        <v>653699.1</v>
      </c>
      <c r="I13" s="50">
        <v>1.19</v>
      </c>
      <c r="J13" s="51">
        <f t="shared" si="0"/>
        <v>0.019152282755169774</v>
      </c>
      <c r="K13" s="51">
        <f t="shared" si="0"/>
        <v>0.024896990067754414</v>
      </c>
      <c r="L13" s="51">
        <f t="shared" si="0"/>
        <v>0.006477735704393657</v>
      </c>
    </row>
    <row r="14" ht="12.75">
      <c r="C14" s="1"/>
    </row>
    <row r="16" spans="2:9" ht="12.75">
      <c r="B16" s="2"/>
      <c r="C16" s="2"/>
      <c r="D16" s="9"/>
      <c r="E16" s="9"/>
      <c r="F16" s="9"/>
      <c r="G16" s="9"/>
      <c r="H16" s="9"/>
      <c r="I16" s="9"/>
    </row>
    <row r="17" spans="2:9" ht="12.75">
      <c r="B17" s="2"/>
      <c r="C17" s="2"/>
      <c r="D17" s="10"/>
      <c r="E17" s="2"/>
      <c r="F17" s="2"/>
      <c r="G17" s="2"/>
      <c r="H17" s="2"/>
      <c r="I17" s="2"/>
    </row>
    <row r="18" spans="2:9" ht="33.75">
      <c r="B18" s="6"/>
      <c r="C18" s="52" t="s">
        <v>28</v>
      </c>
      <c r="D18" s="53"/>
      <c r="E18" s="53"/>
      <c r="F18" s="2"/>
      <c r="G18" s="2"/>
      <c r="H18" s="2"/>
      <c r="I18" s="2"/>
    </row>
    <row r="19" spans="2:9" ht="22.5">
      <c r="B19" s="6"/>
      <c r="C19" s="44" t="s">
        <v>1</v>
      </c>
      <c r="D19" s="44" t="s">
        <v>2</v>
      </c>
      <c r="E19" s="44" t="s">
        <v>3</v>
      </c>
      <c r="H19" s="11"/>
      <c r="I19" s="11"/>
    </row>
    <row r="20" spans="2:9" ht="12.75">
      <c r="B20" s="6"/>
      <c r="C20" s="44"/>
      <c r="D20" s="44"/>
      <c r="E20" s="44"/>
      <c r="I20" s="11"/>
    </row>
    <row r="21" spans="2:9" ht="12.75">
      <c r="B21" s="6"/>
      <c r="C21" s="45"/>
      <c r="D21" s="6"/>
      <c r="E21" s="6"/>
      <c r="I21" s="11"/>
    </row>
    <row r="22" spans="2:9" ht="12.75">
      <c r="B22" s="6">
        <v>2005</v>
      </c>
      <c r="C22" s="22">
        <v>2361</v>
      </c>
      <c r="D22" s="6">
        <v>2335</v>
      </c>
      <c r="E22" s="6">
        <v>2292</v>
      </c>
      <c r="I22" s="11"/>
    </row>
    <row r="23" spans="2:5" ht="12.75" customHeight="1">
      <c r="B23" s="6">
        <v>2004</v>
      </c>
      <c r="C23" s="22">
        <v>2305</v>
      </c>
      <c r="D23" s="6">
        <v>2281</v>
      </c>
      <c r="E23" s="6">
        <v>2247</v>
      </c>
    </row>
    <row r="24" spans="2:9" ht="15" customHeight="1">
      <c r="B24" s="6">
        <v>2003</v>
      </c>
      <c r="C24" s="33">
        <v>2261</v>
      </c>
      <c r="D24" s="33">
        <v>2213</v>
      </c>
      <c r="E24" s="33">
        <v>2154</v>
      </c>
      <c r="I24" s="9"/>
    </row>
    <row r="25" spans="2:9" ht="12.75">
      <c r="B25" s="6">
        <v>2002</v>
      </c>
      <c r="C25" s="33">
        <v>2135</v>
      </c>
      <c r="D25" s="33">
        <v>2071</v>
      </c>
      <c r="E25" s="33">
        <v>2057</v>
      </c>
      <c r="I25" s="9"/>
    </row>
    <row r="26" spans="2:9" ht="12.75">
      <c r="B26" s="6">
        <v>2001</v>
      </c>
      <c r="C26" s="34">
        <v>2130</v>
      </c>
      <c r="D26" s="34">
        <v>2069</v>
      </c>
      <c r="E26" s="34">
        <v>2048</v>
      </c>
      <c r="I26" s="2"/>
    </row>
    <row r="27" spans="2:9" ht="12.75">
      <c r="B27" s="6">
        <v>2000</v>
      </c>
      <c r="C27" s="34">
        <v>1926</v>
      </c>
      <c r="D27" s="34">
        <v>1853</v>
      </c>
      <c r="E27" s="34">
        <v>1852</v>
      </c>
      <c r="I27" s="2"/>
    </row>
    <row r="28" spans="2:9" ht="12.75">
      <c r="B28" s="6">
        <v>1999</v>
      </c>
      <c r="C28" s="33">
        <v>1646</v>
      </c>
      <c r="D28" s="33">
        <v>1608</v>
      </c>
      <c r="E28" s="33">
        <v>1593</v>
      </c>
      <c r="I28" s="2"/>
    </row>
    <row r="29" spans="2:9" ht="12.75">
      <c r="B29" s="6">
        <v>1998</v>
      </c>
      <c r="C29" s="33">
        <v>1338</v>
      </c>
      <c r="D29" s="33">
        <v>1255</v>
      </c>
      <c r="E29" s="33">
        <v>1269</v>
      </c>
      <c r="I29" s="12"/>
    </row>
    <row r="30" ht="12.75">
      <c r="I30" s="12"/>
    </row>
    <row r="31" ht="12.75">
      <c r="I31" s="12"/>
    </row>
    <row r="32" spans="8:9" ht="12.75">
      <c r="H32" s="12"/>
      <c r="I32" s="12"/>
    </row>
    <row r="33" spans="8:9" ht="111" customHeight="1">
      <c r="H33" s="12"/>
      <c r="I33" s="12"/>
    </row>
    <row r="34" spans="8:9" ht="12.75">
      <c r="H34" s="12"/>
      <c r="I34" s="12"/>
    </row>
    <row r="35" spans="8:9" ht="12.75">
      <c r="H35" s="12"/>
      <c r="I35" s="12"/>
    </row>
    <row r="36" spans="8:9" ht="12.75">
      <c r="H36" s="12"/>
      <c r="I36" s="12"/>
    </row>
    <row r="37" spans="8:9" ht="12.75">
      <c r="H37" s="12"/>
      <c r="I37" s="12"/>
    </row>
    <row r="38" spans="2:11" ht="12.75">
      <c r="B38" s="38"/>
      <c r="C38" s="38"/>
      <c r="D38" s="38"/>
      <c r="E38" s="38"/>
      <c r="F38" s="38"/>
      <c r="G38" s="38"/>
      <c r="H38" s="38"/>
      <c r="I38" s="41" t="s">
        <v>21</v>
      </c>
      <c r="J38" s="42"/>
      <c r="K38" s="43"/>
    </row>
    <row r="39" spans="2:11" ht="25.5">
      <c r="B39" s="46" t="s">
        <v>29</v>
      </c>
      <c r="C39" s="46" t="s">
        <v>30</v>
      </c>
      <c r="D39" s="46" t="s">
        <v>15</v>
      </c>
      <c r="E39" s="46" t="s">
        <v>16</v>
      </c>
      <c r="F39" s="46" t="s">
        <v>31</v>
      </c>
      <c r="G39" s="46" t="s">
        <v>34</v>
      </c>
      <c r="H39" s="47" t="s">
        <v>82</v>
      </c>
      <c r="I39" s="46" t="s">
        <v>22</v>
      </c>
      <c r="J39" s="46" t="s">
        <v>23</v>
      </c>
      <c r="K39" s="46" t="s">
        <v>24</v>
      </c>
    </row>
    <row r="40" spans="2:11" ht="12.75">
      <c r="B40" s="38">
        <f>AVERAGE(B41:B48)</f>
        <v>2001.5</v>
      </c>
      <c r="C40" s="39">
        <f>AVERAGE(C41:C48)</f>
        <v>791294.6749999999</v>
      </c>
      <c r="D40" s="38"/>
      <c r="E40" s="38"/>
      <c r="F40" s="38"/>
      <c r="G40" s="38"/>
      <c r="H40" s="38"/>
      <c r="I40" s="38"/>
      <c r="J40" s="38"/>
      <c r="K40" s="38"/>
    </row>
    <row r="41" spans="2:11" ht="12.75">
      <c r="B41" s="38">
        <v>1998</v>
      </c>
      <c r="C41" s="18">
        <v>653699.1</v>
      </c>
      <c r="D41" s="39">
        <f aca="true" t="shared" si="1" ref="D41:E48">B41-B$40</f>
        <v>-3.5</v>
      </c>
      <c r="E41" s="22">
        <f t="shared" si="1"/>
        <v>-137595.57499999995</v>
      </c>
      <c r="F41" s="38">
        <f aca="true" t="shared" si="2" ref="F41:F48">D41*E41</f>
        <v>481584.51249999984</v>
      </c>
      <c r="G41" s="22">
        <f aca="true" t="shared" si="3" ref="G41:G48">D41^2</f>
        <v>12.25</v>
      </c>
      <c r="H41" s="39"/>
      <c r="I41" s="38"/>
      <c r="J41" s="38"/>
      <c r="K41" s="38"/>
    </row>
    <row r="42" spans="2:11" ht="12.75">
      <c r="B42" s="38">
        <v>1999</v>
      </c>
      <c r="C42" s="18">
        <v>744064.1</v>
      </c>
      <c r="D42" s="39">
        <f t="shared" si="1"/>
        <v>-2.5</v>
      </c>
      <c r="E42" s="22">
        <f t="shared" si="1"/>
        <v>-47230.57499999995</v>
      </c>
      <c r="F42" s="38">
        <f t="shared" si="2"/>
        <v>118076.43749999988</v>
      </c>
      <c r="G42" s="22">
        <f t="shared" si="3"/>
        <v>6.25</v>
      </c>
      <c r="H42" s="39"/>
      <c r="I42" s="38"/>
      <c r="J42" s="38"/>
      <c r="K42" s="38"/>
    </row>
    <row r="43" spans="2:11" ht="12.75">
      <c r="B43" s="38">
        <v>2000</v>
      </c>
      <c r="C43" s="18">
        <v>753891.3</v>
      </c>
      <c r="D43" s="39">
        <f t="shared" si="1"/>
        <v>-1.5</v>
      </c>
      <c r="E43" s="22">
        <f t="shared" si="1"/>
        <v>-37403.37499999988</v>
      </c>
      <c r="F43" s="38">
        <f t="shared" si="2"/>
        <v>56105.062499999825</v>
      </c>
      <c r="G43" s="22">
        <f t="shared" si="3"/>
        <v>2.25</v>
      </c>
      <c r="H43" s="39"/>
      <c r="I43" s="38"/>
      <c r="J43" s="38"/>
      <c r="K43" s="38"/>
    </row>
    <row r="44" spans="2:11" ht="27" customHeight="1">
      <c r="B44" s="38">
        <v>2001</v>
      </c>
      <c r="C44" s="18">
        <v>746431.1</v>
      </c>
      <c r="D44" s="39">
        <f t="shared" si="1"/>
        <v>-0.5</v>
      </c>
      <c r="E44" s="22">
        <f t="shared" si="1"/>
        <v>-44863.57499999995</v>
      </c>
      <c r="F44" s="38">
        <f t="shared" si="2"/>
        <v>22431.787499999977</v>
      </c>
      <c r="G44" s="22">
        <f t="shared" si="3"/>
        <v>0.25</v>
      </c>
      <c r="H44" s="39"/>
      <c r="I44" s="38"/>
      <c r="J44" s="38"/>
      <c r="K44" s="38"/>
    </row>
    <row r="45" spans="2:11" ht="12.75">
      <c r="B45" s="38">
        <v>2002</v>
      </c>
      <c r="C45" s="18">
        <v>797101.9</v>
      </c>
      <c r="D45" s="39">
        <f t="shared" si="1"/>
        <v>0.5</v>
      </c>
      <c r="E45" s="22">
        <f t="shared" si="1"/>
        <v>5807.225000000093</v>
      </c>
      <c r="F45" s="38">
        <f t="shared" si="2"/>
        <v>2903.6125000000466</v>
      </c>
      <c r="G45" s="22">
        <f t="shared" si="3"/>
        <v>0.25</v>
      </c>
      <c r="H45" s="39"/>
      <c r="I45" s="38"/>
      <c r="J45" s="38"/>
      <c r="K45" s="38"/>
    </row>
    <row r="46" spans="2:11" ht="12.75">
      <c r="B46" s="38">
        <v>2003</v>
      </c>
      <c r="C46" s="18">
        <v>868324.5</v>
      </c>
      <c r="D46" s="39">
        <f t="shared" si="1"/>
        <v>1.5</v>
      </c>
      <c r="E46" s="22">
        <f t="shared" si="1"/>
        <v>77029.82500000007</v>
      </c>
      <c r="F46" s="38">
        <f t="shared" si="2"/>
        <v>115544.7375000001</v>
      </c>
      <c r="G46" s="22">
        <f t="shared" si="3"/>
        <v>2.25</v>
      </c>
      <c r="H46" s="39"/>
      <c r="I46" s="38"/>
      <c r="J46" s="38"/>
      <c r="K46" s="38"/>
    </row>
    <row r="47" spans="2:11" ht="12.75">
      <c r="B47" s="38">
        <v>2004</v>
      </c>
      <c r="C47" s="18">
        <v>891875.1</v>
      </c>
      <c r="D47" s="39">
        <f t="shared" si="1"/>
        <v>2.5</v>
      </c>
      <c r="E47" s="22">
        <f t="shared" si="1"/>
        <v>100580.42500000005</v>
      </c>
      <c r="F47" s="38">
        <f t="shared" si="2"/>
        <v>251451.06250000012</v>
      </c>
      <c r="G47" s="22">
        <f t="shared" si="3"/>
        <v>6.25</v>
      </c>
      <c r="H47" s="39"/>
      <c r="I47" s="38"/>
      <c r="J47" s="38"/>
      <c r="K47" s="38"/>
    </row>
    <row r="48" spans="2:11" ht="12.75">
      <c r="B48" s="38">
        <v>2005</v>
      </c>
      <c r="C48" s="18">
        <v>874970.3</v>
      </c>
      <c r="D48" s="39">
        <f t="shared" si="1"/>
        <v>3.5</v>
      </c>
      <c r="E48" s="22">
        <f t="shared" si="1"/>
        <v>83675.62500000012</v>
      </c>
      <c r="F48" s="38">
        <f t="shared" si="2"/>
        <v>292864.6875000004</v>
      </c>
      <c r="G48" s="22">
        <f t="shared" si="3"/>
        <v>12.25</v>
      </c>
      <c r="H48" s="39"/>
      <c r="I48" s="38"/>
      <c r="J48" s="38"/>
      <c r="K48" s="38"/>
    </row>
    <row r="49" spans="2:11" ht="12.75">
      <c r="B49" s="38">
        <v>2007</v>
      </c>
      <c r="C49" s="38">
        <v>966896.828571424</v>
      </c>
      <c r="D49" s="39"/>
      <c r="E49" s="38" t="s">
        <v>17</v>
      </c>
      <c r="F49" s="38">
        <f>SUM(F41:F48)</f>
        <v>1340961.9000000001</v>
      </c>
      <c r="G49" s="22">
        <f>SUM(G41:G48)</f>
        <v>42</v>
      </c>
      <c r="H49" s="40">
        <f>L$53+L$52*2007</f>
        <v>966896.8285714239</v>
      </c>
      <c r="I49" s="48">
        <f>H49*2.73%</f>
        <v>26396.283419999872</v>
      </c>
      <c r="J49" s="48">
        <f>H49*9.058%</f>
        <v>87581.51473199957</v>
      </c>
      <c r="K49" s="48">
        <f>H49*1.45%</f>
        <v>14020.004014285645</v>
      </c>
    </row>
    <row r="52" spans="11:12" ht="12.75">
      <c r="K52" s="6" t="s">
        <v>9</v>
      </c>
      <c r="L52" s="6">
        <f>F49/G49</f>
        <v>31927.66428571429</v>
      </c>
    </row>
    <row r="53" spans="11:12" ht="12.75">
      <c r="K53" s="6" t="s">
        <v>19</v>
      </c>
      <c r="L53" s="6">
        <f>C40-B40*L52</f>
        <v>-63111925.39285716</v>
      </c>
    </row>
    <row r="54" spans="11:12" ht="12.75">
      <c r="K54" s="6" t="s">
        <v>32</v>
      </c>
      <c r="L54" s="6">
        <f>CORREL(B41:B48,C41:C48)</f>
        <v>0.9477920872079736</v>
      </c>
    </row>
    <row r="57" ht="12.75">
      <c r="J57" s="35"/>
    </row>
    <row r="58" ht="12.75">
      <c r="J58" s="35"/>
    </row>
    <row r="59" spans="10:11" ht="12.75">
      <c r="J59" s="35"/>
      <c r="K59" s="35"/>
    </row>
    <row r="65" spans="13:17" ht="12.75">
      <c r="M65" s="36"/>
      <c r="N65" s="100"/>
      <c r="O65" s="100"/>
      <c r="P65" s="100"/>
      <c r="Q65" s="36"/>
    </row>
    <row r="66" spans="13:17" ht="12.75">
      <c r="M66" s="36"/>
      <c r="N66" s="36"/>
      <c r="O66" s="36"/>
      <c r="P66" s="36"/>
      <c r="Q66" s="36"/>
    </row>
    <row r="67" spans="13:17" ht="12.75">
      <c r="M67" s="36"/>
      <c r="N67" s="36"/>
      <c r="O67" s="36"/>
      <c r="P67" s="36"/>
      <c r="Q67" s="36"/>
    </row>
    <row r="68" spans="13:17" ht="12.75">
      <c r="M68" s="37"/>
      <c r="N68" s="36"/>
      <c r="O68" s="36"/>
      <c r="P68" s="36"/>
      <c r="Q68" s="36"/>
    </row>
    <row r="69" spans="13:17" ht="12.75">
      <c r="M69" s="37"/>
      <c r="N69" s="36"/>
      <c r="O69" s="36"/>
      <c r="P69" s="36"/>
      <c r="Q69" s="36"/>
    </row>
    <row r="70" spans="13:17" ht="12.75">
      <c r="M70" s="37"/>
      <c r="N70" s="36"/>
      <c r="O70" s="36"/>
      <c r="P70" s="36"/>
      <c r="Q70" s="36"/>
    </row>
    <row r="71" spans="13:17" ht="12.75">
      <c r="M71" s="37"/>
      <c r="N71" s="36"/>
      <c r="O71" s="36"/>
      <c r="P71" s="36"/>
      <c r="Q71" s="36"/>
    </row>
    <row r="72" spans="13:17" ht="12.75">
      <c r="M72" s="37"/>
      <c r="N72" s="36"/>
      <c r="O72" s="36"/>
      <c r="P72" s="36"/>
      <c r="Q72" s="36"/>
    </row>
    <row r="73" spans="13:17" ht="12.75">
      <c r="M73" s="37"/>
      <c r="N73" s="36"/>
      <c r="O73" s="36"/>
      <c r="P73" s="36"/>
      <c r="Q73" s="36"/>
    </row>
    <row r="74" spans="13:17" ht="12.75">
      <c r="M74" s="37"/>
      <c r="N74" s="36"/>
      <c r="O74" s="36"/>
      <c r="P74" s="36"/>
      <c r="Q74" s="36"/>
    </row>
    <row r="75" spans="13:17" ht="12.75">
      <c r="M75" s="37"/>
      <c r="N75" s="36"/>
      <c r="O75" s="36"/>
      <c r="P75" s="36"/>
      <c r="Q75" s="36"/>
    </row>
    <row r="76" spans="13:17" ht="12.75">
      <c r="M76" s="37"/>
      <c r="N76" s="36"/>
      <c r="O76" s="36"/>
      <c r="P76" s="36"/>
      <c r="Q76" s="36"/>
    </row>
    <row r="77" spans="13:17" ht="12.75">
      <c r="M77" s="36"/>
      <c r="N77" s="36"/>
      <c r="O77" s="36"/>
      <c r="P77" s="36"/>
      <c r="Q77" s="36"/>
    </row>
  </sheetData>
  <mergeCells count="7">
    <mergeCell ref="C4:C5"/>
    <mergeCell ref="D4:D5"/>
    <mergeCell ref="E4:E5"/>
    <mergeCell ref="N65:P65"/>
    <mergeCell ref="I4:I5"/>
    <mergeCell ref="F4:F5"/>
    <mergeCell ref="G4:G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4" max="4" width="14.421875" style="0" bestFit="1" customWidth="1"/>
    <col min="8" max="8" width="14.421875" style="0" bestFit="1" customWidth="1"/>
    <col min="12" max="12" width="16.421875" style="0" bestFit="1" customWidth="1"/>
    <col min="13" max="13" width="19.7109375" style="0" customWidth="1"/>
  </cols>
  <sheetData>
    <row r="1" spans="1:9" ht="12.75">
      <c r="A1" s="99"/>
      <c r="B1" s="99"/>
      <c r="C1" s="6"/>
      <c r="D1" s="6" t="s">
        <v>12</v>
      </c>
      <c r="E1" s="6" t="s">
        <v>11</v>
      </c>
      <c r="F1" s="6" t="s">
        <v>16</v>
      </c>
      <c r="G1" s="6" t="s">
        <v>15</v>
      </c>
      <c r="H1" s="6" t="s">
        <v>33</v>
      </c>
      <c r="I1" s="6" t="s">
        <v>35</v>
      </c>
    </row>
    <row r="2" spans="3:9" ht="12.75">
      <c r="C2" s="6"/>
      <c r="D2" s="18"/>
      <c r="E2" s="6"/>
      <c r="F2" s="6"/>
      <c r="G2" s="6"/>
      <c r="H2" s="6"/>
      <c r="I2" s="6"/>
    </row>
    <row r="3" spans="3:13" ht="12.75">
      <c r="C3" s="6" t="s">
        <v>36</v>
      </c>
      <c r="D3" s="19">
        <f>AVERAGE(D4:D11)</f>
        <v>0.022253647404281242</v>
      </c>
      <c r="E3" s="20">
        <f>AVERAGE(E4:E11)</f>
        <v>2012.75</v>
      </c>
      <c r="F3" s="6"/>
      <c r="G3" s="6"/>
      <c r="H3" s="6"/>
      <c r="I3" s="6"/>
      <c r="M3" s="5"/>
    </row>
    <row r="4" spans="3:9" ht="12.75">
      <c r="C4" s="6">
        <v>2005</v>
      </c>
      <c r="D4" s="21">
        <v>0.02726881129565198</v>
      </c>
      <c r="E4" s="22">
        <v>2361</v>
      </c>
      <c r="F4" s="23">
        <f>D4-D$3</f>
        <v>0.005015163891370737</v>
      </c>
      <c r="G4" s="24">
        <f>E4-E$3</f>
        <v>348.25</v>
      </c>
      <c r="H4" s="6">
        <f>F4*G4</f>
        <v>1.7465308251698592</v>
      </c>
      <c r="I4" s="24">
        <f>G4^2</f>
        <v>121278.0625</v>
      </c>
    </row>
    <row r="5" spans="3:13" ht="12.75">
      <c r="C5" s="6">
        <v>2004</v>
      </c>
      <c r="D5" s="21">
        <v>0.02456182485641768</v>
      </c>
      <c r="E5" s="22">
        <v>2305</v>
      </c>
      <c r="F5" s="23">
        <f aca="true" t="shared" si="0" ref="F5:F11">D5-D$3</f>
        <v>0.0023081774521364375</v>
      </c>
      <c r="G5" s="24">
        <f aca="true" t="shared" si="1" ref="G5:G11">E5-E$3</f>
        <v>292.25</v>
      </c>
      <c r="H5" s="6">
        <f>F5*G5</f>
        <v>0.6745648603868738</v>
      </c>
      <c r="I5" s="24">
        <f>G5^2</f>
        <v>85410.0625</v>
      </c>
      <c r="M5" s="4"/>
    </row>
    <row r="6" spans="3:12" ht="12.75">
      <c r="C6" s="6">
        <v>2003</v>
      </c>
      <c r="D6" s="21">
        <v>0.023209606546861227</v>
      </c>
      <c r="E6" s="25">
        <v>2261</v>
      </c>
      <c r="F6" s="23">
        <f t="shared" si="0"/>
        <v>0.0009559591425799853</v>
      </c>
      <c r="G6" s="24">
        <f t="shared" si="1"/>
        <v>248.25</v>
      </c>
      <c r="H6" s="6">
        <f aca="true" t="shared" si="2" ref="H6:H11">F6*G6</f>
        <v>0.23731685714548134</v>
      </c>
      <c r="I6" s="24">
        <f>G6^2</f>
        <v>61628.0625</v>
      </c>
      <c r="L6" s="2"/>
    </row>
    <row r="7" spans="3:12" ht="12.75">
      <c r="C7" s="6">
        <v>2002</v>
      </c>
      <c r="D7" s="21">
        <v>0.022588002863874742</v>
      </c>
      <c r="E7" s="25">
        <v>2135</v>
      </c>
      <c r="F7" s="23">
        <f t="shared" si="0"/>
        <v>0.00033435545959350013</v>
      </c>
      <c r="G7" s="24">
        <f t="shared" si="1"/>
        <v>122.25</v>
      </c>
      <c r="H7" s="6">
        <f t="shared" si="2"/>
        <v>0.040874954935305394</v>
      </c>
      <c r="I7" s="24">
        <f>(G7)^2</f>
        <v>14945.0625</v>
      </c>
      <c r="L7" s="2"/>
    </row>
    <row r="8" spans="3:12" ht="12.75">
      <c r="C8" s="6">
        <v>2001</v>
      </c>
      <c r="D8" s="21">
        <v>0.022471987032694648</v>
      </c>
      <c r="E8" s="26">
        <v>2130</v>
      </c>
      <c r="F8" s="23">
        <f t="shared" si="0"/>
        <v>0.00021833962841340607</v>
      </c>
      <c r="G8" s="24">
        <f t="shared" si="1"/>
        <v>117.25</v>
      </c>
      <c r="H8" s="6">
        <f t="shared" si="2"/>
        <v>0.02560032143147186</v>
      </c>
      <c r="I8" s="24">
        <f>G8^2</f>
        <v>13747.5625</v>
      </c>
      <c r="L8" s="3"/>
    </row>
    <row r="9" spans="3:12" ht="12.75">
      <c r="C9" s="6">
        <v>2000</v>
      </c>
      <c r="D9" s="21">
        <v>0.020084712477780285</v>
      </c>
      <c r="E9" s="26">
        <v>1926</v>
      </c>
      <c r="F9" s="23">
        <f t="shared" si="0"/>
        <v>-0.0021689349265009567</v>
      </c>
      <c r="G9" s="24">
        <f t="shared" si="1"/>
        <v>-86.75</v>
      </c>
      <c r="H9" s="6">
        <f t="shared" si="2"/>
        <v>0.18815510487395798</v>
      </c>
      <c r="I9" s="24">
        <f>G9^2</f>
        <v>7525.5625</v>
      </c>
      <c r="L9" s="8"/>
    </row>
    <row r="10" spans="3:12" ht="12.75">
      <c r="C10" s="6">
        <v>1999</v>
      </c>
      <c r="D10" s="21">
        <v>0.018691951405799583</v>
      </c>
      <c r="E10" s="25">
        <v>1646</v>
      </c>
      <c r="F10" s="23">
        <f t="shared" si="0"/>
        <v>-0.0035616959984816586</v>
      </c>
      <c r="G10" s="24">
        <f t="shared" si="1"/>
        <v>-366.75</v>
      </c>
      <c r="H10" s="6">
        <f t="shared" si="2"/>
        <v>1.3062520074431483</v>
      </c>
      <c r="I10" s="24">
        <f>G10^2</f>
        <v>134505.5625</v>
      </c>
      <c r="L10" s="3"/>
    </row>
    <row r="11" spans="3:12" ht="12.75">
      <c r="C11" s="6">
        <v>1998</v>
      </c>
      <c r="D11" s="21">
        <v>0.019152282755169774</v>
      </c>
      <c r="E11" s="25">
        <v>1338</v>
      </c>
      <c r="F11" s="23">
        <f t="shared" si="0"/>
        <v>-0.0031013646491114683</v>
      </c>
      <c r="G11" s="24">
        <f t="shared" si="1"/>
        <v>-674.75</v>
      </c>
      <c r="H11" s="6">
        <f t="shared" si="2"/>
        <v>2.0926457969879633</v>
      </c>
      <c r="I11" s="24">
        <f>G11^2</f>
        <v>455287.5625</v>
      </c>
      <c r="L11" s="3"/>
    </row>
    <row r="12" spans="3:12" ht="12.75">
      <c r="C12" s="6"/>
      <c r="D12" s="6"/>
      <c r="E12" s="6"/>
      <c r="F12" s="6"/>
      <c r="G12" s="6" t="s">
        <v>17</v>
      </c>
      <c r="H12" s="6">
        <f>SUM(H4:H11)</f>
        <v>6.311940728374061</v>
      </c>
      <c r="I12" s="24">
        <f>SUM(I4:I11)</f>
        <v>894327.5</v>
      </c>
      <c r="L12" s="3"/>
    </row>
    <row r="13" spans="3:12" ht="12.75">
      <c r="C13" s="27">
        <v>2007</v>
      </c>
      <c r="D13" s="28">
        <f>D4+100*M3</f>
        <v>0.02726881129565198</v>
      </c>
      <c r="E13" s="27">
        <v>2461</v>
      </c>
      <c r="F13" s="6"/>
      <c r="G13" s="6"/>
      <c r="H13" s="6"/>
      <c r="I13" s="6"/>
      <c r="L13" s="3"/>
    </row>
    <row r="14" ht="12.75">
      <c r="L14" s="3"/>
    </row>
    <row r="15" ht="12.75">
      <c r="L15" s="3"/>
    </row>
    <row r="16" ht="12.75">
      <c r="L16" s="3"/>
    </row>
    <row r="17" ht="12.75">
      <c r="L17" s="2"/>
    </row>
    <row r="33" spans="3:4" ht="12.75">
      <c r="C33" s="6" t="s">
        <v>8</v>
      </c>
      <c r="D33" s="6">
        <v>0.8721863424375137</v>
      </c>
    </row>
    <row r="34" spans="3:4" ht="12.75">
      <c r="C34" s="6" t="s">
        <v>9</v>
      </c>
      <c r="D34" s="6">
        <v>7.057750911577763E-06</v>
      </c>
    </row>
    <row r="35" spans="3:4" ht="12.75">
      <c r="C35" s="6" t="s">
        <v>10</v>
      </c>
      <c r="D35" s="6">
        <v>0.7607090159345279</v>
      </c>
    </row>
    <row r="36" spans="3:4" ht="12.75">
      <c r="C36" s="6" t="s">
        <v>20</v>
      </c>
      <c r="D36" s="6">
        <v>0.0080481592570031</v>
      </c>
    </row>
    <row r="39" spans="3:9" ht="12.75">
      <c r="C39" s="6"/>
      <c r="D39" s="6"/>
      <c r="E39" s="6"/>
      <c r="F39" s="6" t="s">
        <v>16</v>
      </c>
      <c r="G39" s="6" t="s">
        <v>15</v>
      </c>
      <c r="H39" s="6"/>
      <c r="I39" s="6"/>
    </row>
    <row r="40" spans="3:9" ht="12.75">
      <c r="C40" s="6"/>
      <c r="D40" s="29">
        <f>AVERAGE(D41:D48)</f>
        <v>17783.401250000003</v>
      </c>
      <c r="E40" s="20">
        <f>AVERAGE(E41:E48)</f>
        <v>2012.75</v>
      </c>
      <c r="F40" s="6"/>
      <c r="G40" s="6"/>
      <c r="H40" s="6"/>
      <c r="I40" s="6"/>
    </row>
    <row r="41" spans="3:9" ht="12.75">
      <c r="C41" s="6">
        <v>2005</v>
      </c>
      <c r="D41" s="30">
        <v>23859.4</v>
      </c>
      <c r="E41" s="31">
        <v>2361</v>
      </c>
      <c r="F41" s="32">
        <f>D41-D$40</f>
        <v>6075.998749999999</v>
      </c>
      <c r="G41" s="24">
        <f>E41-E$40</f>
        <v>348.25</v>
      </c>
      <c r="H41" s="6">
        <f>F41*G41</f>
        <v>2115966.5646875</v>
      </c>
      <c r="I41" s="24">
        <f>G41^2</f>
        <v>121278.0625</v>
      </c>
    </row>
    <row r="42" spans="3:9" ht="12.75">
      <c r="C42" s="6">
        <v>2004</v>
      </c>
      <c r="D42" s="30">
        <v>21906.08</v>
      </c>
      <c r="E42" s="31">
        <v>2305</v>
      </c>
      <c r="F42" s="32">
        <f aca="true" t="shared" si="3" ref="F42:F48">D42-D$40</f>
        <v>4122.678749999999</v>
      </c>
      <c r="G42" s="24">
        <f aca="true" t="shared" si="4" ref="G42:G48">E42-E$40</f>
        <v>292.25</v>
      </c>
      <c r="H42" s="6">
        <f aca="true" t="shared" si="5" ref="H42:H48">F42*G42</f>
        <v>1204852.8646874998</v>
      </c>
      <c r="I42" s="24">
        <f aca="true" t="shared" si="6" ref="I42:I48">G42^2</f>
        <v>85410.0625</v>
      </c>
    </row>
    <row r="43" spans="3:9" ht="12.75">
      <c r="C43" s="6">
        <v>2003</v>
      </c>
      <c r="D43" s="30">
        <v>20153.47</v>
      </c>
      <c r="E43" s="33">
        <v>2261</v>
      </c>
      <c r="F43" s="32">
        <f t="shared" si="3"/>
        <v>2370.0687499999985</v>
      </c>
      <c r="G43" s="24">
        <f t="shared" si="4"/>
        <v>248.25</v>
      </c>
      <c r="H43" s="6">
        <f t="shared" si="5"/>
        <v>588369.5671874996</v>
      </c>
      <c r="I43" s="24">
        <f t="shared" si="6"/>
        <v>61628.0625</v>
      </c>
    </row>
    <row r="44" spans="3:9" ht="12.75">
      <c r="C44" s="6">
        <v>2002</v>
      </c>
      <c r="D44" s="30">
        <v>18004.94</v>
      </c>
      <c r="E44" s="33">
        <v>2135</v>
      </c>
      <c r="F44" s="32">
        <f t="shared" si="3"/>
        <v>221.53874999999607</v>
      </c>
      <c r="G44" s="24">
        <f t="shared" si="4"/>
        <v>122.25</v>
      </c>
      <c r="H44" s="6">
        <f t="shared" si="5"/>
        <v>27083.11218749952</v>
      </c>
      <c r="I44" s="24">
        <f t="shared" si="6"/>
        <v>14945.0625</v>
      </c>
    </row>
    <row r="45" spans="3:9" ht="12.75">
      <c r="C45" s="6">
        <v>2001</v>
      </c>
      <c r="D45" s="30">
        <v>16773.79</v>
      </c>
      <c r="E45" s="34">
        <v>2130</v>
      </c>
      <c r="F45" s="32">
        <f t="shared" si="3"/>
        <v>-1009.6112500000017</v>
      </c>
      <c r="G45" s="24">
        <f t="shared" si="4"/>
        <v>117.25</v>
      </c>
      <c r="H45" s="6">
        <f t="shared" si="5"/>
        <v>-118376.91906250021</v>
      </c>
      <c r="I45" s="24">
        <f t="shared" si="6"/>
        <v>13747.5625</v>
      </c>
    </row>
    <row r="46" spans="3:9" ht="12.75">
      <c r="C46" s="6">
        <v>2000</v>
      </c>
      <c r="D46" s="30">
        <v>15141.69</v>
      </c>
      <c r="E46" s="34">
        <v>1926</v>
      </c>
      <c r="F46" s="32">
        <f t="shared" si="3"/>
        <v>-2641.711250000002</v>
      </c>
      <c r="G46" s="24">
        <f t="shared" si="4"/>
        <v>-86.75</v>
      </c>
      <c r="H46" s="6">
        <f t="shared" si="5"/>
        <v>229168.4509375002</v>
      </c>
      <c r="I46" s="24">
        <f t="shared" si="6"/>
        <v>7525.5625</v>
      </c>
    </row>
    <row r="47" spans="3:9" ht="12.75">
      <c r="C47" s="6">
        <v>1999</v>
      </c>
      <c r="D47" s="30">
        <v>13908.01</v>
      </c>
      <c r="E47" s="33">
        <v>1646</v>
      </c>
      <c r="F47" s="32">
        <f t="shared" si="3"/>
        <v>-3875.3912500000024</v>
      </c>
      <c r="G47" s="24">
        <f t="shared" si="4"/>
        <v>-366.75</v>
      </c>
      <c r="H47" s="6">
        <f t="shared" si="5"/>
        <v>1421299.740937501</v>
      </c>
      <c r="I47" s="24">
        <f t="shared" si="6"/>
        <v>134505.5625</v>
      </c>
    </row>
    <row r="48" spans="3:9" ht="12.75">
      <c r="C48" s="6">
        <v>1998</v>
      </c>
      <c r="D48" s="30">
        <v>12519.83</v>
      </c>
      <c r="E48" s="33">
        <v>1338</v>
      </c>
      <c r="F48" s="32">
        <f t="shared" si="3"/>
        <v>-5263.571250000003</v>
      </c>
      <c r="G48" s="24">
        <f t="shared" si="4"/>
        <v>-674.75</v>
      </c>
      <c r="H48" s="6">
        <f t="shared" si="5"/>
        <v>3551594.7009375016</v>
      </c>
      <c r="I48" s="24">
        <f t="shared" si="6"/>
        <v>455287.5625</v>
      </c>
    </row>
    <row r="49" spans="3:9" ht="12.75">
      <c r="C49" s="6"/>
      <c r="D49" s="6"/>
      <c r="E49" s="6"/>
      <c r="F49" s="6"/>
      <c r="G49" s="6" t="s">
        <v>17</v>
      </c>
      <c r="H49" s="6">
        <f>SUM(H41:H48)</f>
        <v>9019958.082500001</v>
      </c>
      <c r="I49" s="24">
        <f>SUM(I41:I48)</f>
        <v>894327.5</v>
      </c>
    </row>
    <row r="52" spans="9:10" ht="12.75">
      <c r="I52" s="6" t="s">
        <v>9</v>
      </c>
      <c r="J52" s="6">
        <f>H49/I49</f>
        <v>10.085743849428763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zoomScale="75" zoomScaleNormal="75" workbookViewId="0" topLeftCell="A1">
      <selection activeCell="R30" sqref="R29:U30"/>
    </sheetView>
  </sheetViews>
  <sheetFormatPr defaultColWidth="11.421875" defaultRowHeight="12.75"/>
  <cols>
    <col min="3" max="3" width="6.00390625" style="0" bestFit="1" customWidth="1"/>
    <col min="4" max="4" width="13.00390625" style="0" customWidth="1"/>
    <col min="13" max="13" width="15.421875" style="0" bestFit="1" customWidth="1"/>
  </cols>
  <sheetData>
    <row r="1" spans="2:4" ht="18">
      <c r="B1" s="98"/>
      <c r="C1" s="98"/>
      <c r="D1" s="99"/>
    </row>
    <row r="3" spans="3:13" ht="12.75">
      <c r="C3" s="6"/>
      <c r="D3" s="6" t="s">
        <v>11</v>
      </c>
      <c r="E3" s="6" t="s">
        <v>12</v>
      </c>
      <c r="F3" s="6" t="s">
        <v>15</v>
      </c>
      <c r="G3" s="6" t="s">
        <v>16</v>
      </c>
      <c r="H3" s="6" t="s">
        <v>18</v>
      </c>
      <c r="I3" s="6" t="s">
        <v>38</v>
      </c>
      <c r="M3" s="7"/>
    </row>
    <row r="4" spans="3:9" ht="12.75">
      <c r="C4" s="6">
        <v>2005</v>
      </c>
      <c r="D4" s="38">
        <v>2335</v>
      </c>
      <c r="E4" s="56">
        <v>0.09058272035062219</v>
      </c>
      <c r="F4" s="24">
        <f>D4-D$12</f>
        <v>374.375</v>
      </c>
      <c r="G4" s="57">
        <f>E4-E$12</f>
        <v>0.03319050744459746</v>
      </c>
      <c r="H4" s="6">
        <f>F4*G4</f>
        <v>12.425696224571173</v>
      </c>
      <c r="I4" s="24">
        <f>F4^2</f>
        <v>140156.640625</v>
      </c>
    </row>
    <row r="5" spans="3:9" ht="12.75">
      <c r="C5" s="6">
        <v>2004</v>
      </c>
      <c r="D5" s="38">
        <v>2281</v>
      </c>
      <c r="E5" s="56">
        <v>0.07306292103008594</v>
      </c>
      <c r="F5" s="24">
        <f>D5-D$12</f>
        <v>320.375</v>
      </c>
      <c r="G5" s="57">
        <f aca="true" t="shared" si="0" ref="G5:G11">E5-E$12</f>
        <v>0.015670708124061204</v>
      </c>
      <c r="H5" s="6">
        <f aca="true" t="shared" si="1" ref="H5:H11">F5*G5</f>
        <v>5.020503115246108</v>
      </c>
      <c r="I5" s="24">
        <f aca="true" t="shared" si="2" ref="I5:I11">F5^2</f>
        <v>102640.140625</v>
      </c>
    </row>
    <row r="6" spans="3:9" ht="12.75">
      <c r="C6" s="6">
        <v>2003</v>
      </c>
      <c r="D6" s="25">
        <v>2213</v>
      </c>
      <c r="E6" s="58">
        <v>0.06587399065671877</v>
      </c>
      <c r="F6" s="24">
        <f aca="true" t="shared" si="3" ref="F6:F11">D6-D$12</f>
        <v>252.375</v>
      </c>
      <c r="G6" s="57">
        <f t="shared" si="0"/>
        <v>0.008481777750694038</v>
      </c>
      <c r="H6" s="6">
        <f t="shared" si="1"/>
        <v>2.140588659831408</v>
      </c>
      <c r="I6" s="24">
        <f t="shared" si="2"/>
        <v>63693.140625</v>
      </c>
    </row>
    <row r="7" spans="3:9" ht="12.75">
      <c r="C7" s="6">
        <v>2002</v>
      </c>
      <c r="D7" s="25">
        <v>2071</v>
      </c>
      <c r="E7" s="58">
        <v>0.065641544700872</v>
      </c>
      <c r="F7" s="24">
        <f t="shared" si="3"/>
        <v>110.375</v>
      </c>
      <c r="G7" s="57">
        <f t="shared" si="0"/>
        <v>0.008249331794847263</v>
      </c>
      <c r="H7" s="6">
        <f t="shared" si="1"/>
        <v>0.9105199968562666</v>
      </c>
      <c r="I7" s="24">
        <f t="shared" si="2"/>
        <v>12182.640625</v>
      </c>
    </row>
    <row r="8" spans="3:9" ht="12.75">
      <c r="C8" s="6">
        <v>2001</v>
      </c>
      <c r="D8" s="26">
        <v>2069</v>
      </c>
      <c r="E8" s="58">
        <v>0.06836665835600901</v>
      </c>
      <c r="F8" s="24">
        <f t="shared" si="3"/>
        <v>108.375</v>
      </c>
      <c r="G8" s="57">
        <f t="shared" si="0"/>
        <v>0.010974445449984278</v>
      </c>
      <c r="H8" s="6">
        <f t="shared" si="1"/>
        <v>1.1893555256420463</v>
      </c>
      <c r="I8" s="24">
        <f t="shared" si="2"/>
        <v>11745.140625</v>
      </c>
    </row>
    <row r="9" spans="3:9" ht="12.75">
      <c r="C9" s="6">
        <v>2000</v>
      </c>
      <c r="D9" s="26">
        <v>1853</v>
      </c>
      <c r="E9" s="58">
        <v>0.038026702258004565</v>
      </c>
      <c r="F9" s="24">
        <f t="shared" si="3"/>
        <v>-107.625</v>
      </c>
      <c r="G9" s="57">
        <f t="shared" si="0"/>
        <v>-0.019365510648020168</v>
      </c>
      <c r="H9" s="6">
        <f t="shared" si="1"/>
        <v>2.0842130834931707</v>
      </c>
      <c r="I9" s="24">
        <f t="shared" si="2"/>
        <v>11583.140625</v>
      </c>
    </row>
    <row r="10" spans="3:9" ht="12.75">
      <c r="C10" s="6">
        <v>1999</v>
      </c>
      <c r="D10" s="25">
        <v>1608</v>
      </c>
      <c r="E10" s="58">
        <v>0.03268617582813094</v>
      </c>
      <c r="F10" s="24">
        <f t="shared" si="3"/>
        <v>-352.625</v>
      </c>
      <c r="G10" s="57">
        <f t="shared" si="0"/>
        <v>-0.024706037077893796</v>
      </c>
      <c r="H10" s="6">
        <f t="shared" si="1"/>
        <v>8.7119663245923</v>
      </c>
      <c r="I10" s="24">
        <f t="shared" si="2"/>
        <v>124344.390625</v>
      </c>
    </row>
    <row r="11" spans="3:9" ht="12.75">
      <c r="C11" s="6">
        <v>1998</v>
      </c>
      <c r="D11" s="25">
        <v>1255</v>
      </c>
      <c r="E11" s="58">
        <v>0.024896990067754414</v>
      </c>
      <c r="F11" s="24">
        <f t="shared" si="3"/>
        <v>-705.625</v>
      </c>
      <c r="G11" s="57">
        <f t="shared" si="0"/>
        <v>-0.03249522283827032</v>
      </c>
      <c r="H11" s="6">
        <f t="shared" si="1"/>
        <v>22.929441615254493</v>
      </c>
      <c r="I11" s="24">
        <f t="shared" si="2"/>
        <v>497906.640625</v>
      </c>
    </row>
    <row r="12" spans="3:9" ht="12.75">
      <c r="C12" s="6" t="s">
        <v>37</v>
      </c>
      <c r="D12" s="20">
        <f>AVERAGE(D4:D11)</f>
        <v>1960.625</v>
      </c>
      <c r="E12" s="28">
        <f>AVERAGE(E4:E11)</f>
        <v>0.05739221290602473</v>
      </c>
      <c r="F12" s="6"/>
      <c r="G12" s="6"/>
      <c r="H12" s="6">
        <f>SUM(H4:H11)</f>
        <v>55.41228454548697</v>
      </c>
      <c r="I12" s="24">
        <f>SUM(I4:I11)</f>
        <v>964251.875</v>
      </c>
    </row>
    <row r="13" spans="3:9" ht="12.75">
      <c r="C13" s="6"/>
      <c r="D13" s="6"/>
      <c r="E13" s="6"/>
      <c r="F13" s="6"/>
      <c r="G13" s="6"/>
      <c r="H13" s="6"/>
      <c r="I13" s="6"/>
    </row>
    <row r="14" spans="3:9" ht="12.75">
      <c r="C14" s="6">
        <v>2007</v>
      </c>
      <c r="D14" s="6">
        <v>2435</v>
      </c>
      <c r="E14" s="21">
        <f>E4+100*D35</f>
        <v>0.09632938115389902</v>
      </c>
      <c r="F14" s="6"/>
      <c r="G14" s="6"/>
      <c r="H14" s="6"/>
      <c r="I14" s="6"/>
    </row>
    <row r="15" spans="3:9" ht="12.75">
      <c r="C15" s="35"/>
      <c r="D15" s="35"/>
      <c r="E15" s="59"/>
      <c r="F15" s="35"/>
      <c r="G15" s="35"/>
      <c r="H15" s="35"/>
      <c r="I15" s="35"/>
    </row>
    <row r="33" spans="3:4" ht="12.75">
      <c r="C33" s="6" t="s">
        <v>8</v>
      </c>
      <c r="D33" s="54">
        <f>CORREL(D4:D11,E4:E11)</f>
        <v>0.9341704623338133</v>
      </c>
    </row>
    <row r="34" spans="3:4" ht="12.75">
      <c r="C34" s="6" t="s">
        <v>13</v>
      </c>
      <c r="D34" s="54">
        <f>D33^2</f>
        <v>0.8726744526969705</v>
      </c>
    </row>
    <row r="35" spans="3:4" ht="12.75">
      <c r="C35" s="6" t="s">
        <v>9</v>
      </c>
      <c r="D35" s="55">
        <f>H12/I12</f>
        <v>5.7466608032768376E-05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5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1" width="9.140625" style="0" customWidth="1"/>
    <col min="12" max="12" width="18.00390625" style="0" customWidth="1"/>
    <col min="13" max="16384" width="9.140625" style="0" customWidth="1"/>
  </cols>
  <sheetData>
    <row r="3" spans="3:12" ht="12.75">
      <c r="C3" s="6"/>
      <c r="D3" s="6" t="s">
        <v>11</v>
      </c>
      <c r="E3" s="6" t="s">
        <v>12</v>
      </c>
      <c r="F3" s="6" t="s">
        <v>15</v>
      </c>
      <c r="G3" s="6" t="s">
        <v>16</v>
      </c>
      <c r="H3" s="6" t="s">
        <v>18</v>
      </c>
      <c r="I3" s="6" t="s">
        <v>38</v>
      </c>
      <c r="K3" s="6" t="s">
        <v>8</v>
      </c>
      <c r="L3" s="6">
        <f>CORREL(D5:D12,E5:E12)</f>
        <v>0.9517705145240698</v>
      </c>
    </row>
    <row r="4" spans="3:12" ht="12.75">
      <c r="C4" s="6"/>
      <c r="D4" s="6"/>
      <c r="E4" s="6"/>
      <c r="F4" s="6"/>
      <c r="G4" s="6"/>
      <c r="H4" s="6"/>
      <c r="I4" s="6"/>
      <c r="K4" s="6" t="s">
        <v>13</v>
      </c>
      <c r="L4" s="6">
        <f>L3^2</f>
        <v>0.9058671123174126</v>
      </c>
    </row>
    <row r="5" spans="3:12" ht="12.75">
      <c r="C5" s="6">
        <v>2005</v>
      </c>
      <c r="D5" s="38">
        <v>2292</v>
      </c>
      <c r="E5" s="56">
        <v>0.014470479740855203</v>
      </c>
      <c r="F5" s="24">
        <f>D5-D$13</f>
        <v>353</v>
      </c>
      <c r="G5" s="61">
        <f>E5-E$13</f>
        <v>0.003879875227220093</v>
      </c>
      <c r="H5" s="6">
        <f>F5*G5</f>
        <v>1.369595955208693</v>
      </c>
      <c r="I5" s="24">
        <f>F5^2</f>
        <v>124609</v>
      </c>
      <c r="K5" s="6" t="s">
        <v>9</v>
      </c>
      <c r="L5" s="60">
        <f>H13/I13</f>
        <v>7.811673164346279E-06</v>
      </c>
    </row>
    <row r="6" spans="3:9" ht="12.75">
      <c r="C6" s="6">
        <v>2004</v>
      </c>
      <c r="D6" s="38">
        <v>2247</v>
      </c>
      <c r="E6" s="56">
        <v>0.01311394386949473</v>
      </c>
      <c r="F6" s="24">
        <f aca="true" t="shared" si="0" ref="F6:F12">D6-D$13</f>
        <v>308</v>
      </c>
      <c r="G6" s="61">
        <f aca="true" t="shared" si="1" ref="G6:G12">E6-E$13</f>
        <v>0.0025233393558596207</v>
      </c>
      <c r="H6" s="6">
        <f aca="true" t="shared" si="2" ref="H6:H12">F6*G6</f>
        <v>0.7771885216047631</v>
      </c>
      <c r="I6" s="24">
        <f aca="true" t="shared" si="3" ref="I6:I12">F6^2</f>
        <v>94864</v>
      </c>
    </row>
    <row r="7" spans="3:9" ht="12.75">
      <c r="C7" s="6">
        <v>2003</v>
      </c>
      <c r="D7" s="25">
        <v>2154</v>
      </c>
      <c r="E7" s="58">
        <v>0.012258113182341395</v>
      </c>
      <c r="F7" s="24">
        <f t="shared" si="0"/>
        <v>215</v>
      </c>
      <c r="G7" s="61">
        <f t="shared" si="1"/>
        <v>0.0016675086687062846</v>
      </c>
      <c r="H7" s="6">
        <f t="shared" si="2"/>
        <v>0.3585143637718512</v>
      </c>
      <c r="I7" s="24">
        <f t="shared" si="3"/>
        <v>46225</v>
      </c>
    </row>
    <row r="8" spans="3:9" ht="12.75">
      <c r="C8" s="6">
        <v>2002</v>
      </c>
      <c r="D8" s="25">
        <v>2057</v>
      </c>
      <c r="E8" s="58">
        <v>0.011848886572720502</v>
      </c>
      <c r="F8" s="24">
        <f t="shared" si="0"/>
        <v>118</v>
      </c>
      <c r="G8" s="61">
        <f t="shared" si="1"/>
        <v>0.0012582820590853923</v>
      </c>
      <c r="H8" s="6">
        <f t="shared" si="2"/>
        <v>0.1484772829720763</v>
      </c>
      <c r="I8" s="24">
        <f t="shared" si="3"/>
        <v>13924</v>
      </c>
    </row>
    <row r="9" spans="3:9" ht="12.75">
      <c r="C9" s="6">
        <v>2001</v>
      </c>
      <c r="D9" s="26">
        <v>2048</v>
      </c>
      <c r="E9" s="58">
        <v>0.010841898200651071</v>
      </c>
      <c r="F9" s="24">
        <f t="shared" si="0"/>
        <v>109</v>
      </c>
      <c r="G9" s="61">
        <f t="shared" si="1"/>
        <v>0.00025129368701596114</v>
      </c>
      <c r="H9" s="6">
        <f t="shared" si="2"/>
        <v>0.027391011884739764</v>
      </c>
      <c r="I9" s="24">
        <f t="shared" si="3"/>
        <v>11881</v>
      </c>
    </row>
    <row r="10" spans="3:9" ht="12.75">
      <c r="C10" s="6">
        <v>2000</v>
      </c>
      <c r="D10" s="26">
        <v>1852</v>
      </c>
      <c r="E10" s="58">
        <v>0.008465411392862604</v>
      </c>
      <c r="F10" s="24">
        <f t="shared" si="0"/>
        <v>-87</v>
      </c>
      <c r="G10" s="61">
        <f t="shared" si="1"/>
        <v>-0.0021251931207725058</v>
      </c>
      <c r="H10" s="6">
        <f t="shared" si="2"/>
        <v>0.184891801507208</v>
      </c>
      <c r="I10" s="24">
        <f t="shared" si="3"/>
        <v>7569</v>
      </c>
    </row>
    <row r="11" spans="3:9" ht="12.75">
      <c r="C11" s="6">
        <v>1999</v>
      </c>
      <c r="D11" s="25">
        <v>1593</v>
      </c>
      <c r="E11" s="58">
        <v>0.00724836744576173</v>
      </c>
      <c r="F11" s="24">
        <f t="shared" si="0"/>
        <v>-346</v>
      </c>
      <c r="G11" s="61">
        <f t="shared" si="1"/>
        <v>-0.00334223706787338</v>
      </c>
      <c r="H11" s="6">
        <f t="shared" si="2"/>
        <v>1.1564140254841895</v>
      </c>
      <c r="I11" s="24">
        <f t="shared" si="3"/>
        <v>119716</v>
      </c>
    </row>
    <row r="12" spans="3:9" ht="12.75">
      <c r="C12" s="6">
        <v>1998</v>
      </c>
      <c r="D12" s="25">
        <v>1269</v>
      </c>
      <c r="E12" s="58">
        <v>0.006477735704393657</v>
      </c>
      <c r="F12" s="24">
        <f t="shared" si="0"/>
        <v>-670</v>
      </c>
      <c r="G12" s="61">
        <f t="shared" si="1"/>
        <v>-0.004112868809241453</v>
      </c>
      <c r="H12" s="6">
        <f t="shared" si="2"/>
        <v>2.7556221021917735</v>
      </c>
      <c r="I12" s="24">
        <f t="shared" si="3"/>
        <v>448900</v>
      </c>
    </row>
    <row r="13" spans="3:9" ht="12.75">
      <c r="C13" s="6" t="s">
        <v>37</v>
      </c>
      <c r="D13" s="20">
        <f>AVERAGE(D5:D12)</f>
        <v>1939</v>
      </c>
      <c r="E13" s="28">
        <f>AVERAGE(E5:E12)</f>
        <v>0.01059060451363511</v>
      </c>
      <c r="F13" s="6"/>
      <c r="G13" s="6"/>
      <c r="H13" s="6">
        <f>SUM(H5:H12)</f>
        <v>6.778095064625294</v>
      </c>
      <c r="I13" s="24">
        <f>SUM(I5:I12)</f>
        <v>867688</v>
      </c>
    </row>
    <row r="14" spans="3:9" ht="12.75">
      <c r="C14" s="6"/>
      <c r="D14" s="6"/>
      <c r="E14" s="6"/>
      <c r="F14" s="6"/>
      <c r="G14" s="6"/>
      <c r="H14" s="6"/>
      <c r="I14" s="6"/>
    </row>
    <row r="15" spans="3:9" ht="12.75">
      <c r="C15" s="27">
        <v>2007</v>
      </c>
      <c r="D15" s="27">
        <f>2392</f>
        <v>2392</v>
      </c>
      <c r="E15" s="28">
        <f>E5+100*L5</f>
        <v>0.015251647057289831</v>
      </c>
      <c r="F15" s="6"/>
      <c r="G15" s="6"/>
      <c r="H15" s="6"/>
      <c r="I15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8"/>
  <sheetViews>
    <sheetView zoomScale="50" zoomScaleNormal="50" workbookViewId="0" topLeftCell="B1">
      <selection activeCell="G49" sqref="G49"/>
    </sheetView>
  </sheetViews>
  <sheetFormatPr defaultColWidth="11.421875" defaultRowHeight="12.75"/>
  <cols>
    <col min="1" max="1" width="33.8515625" style="0" customWidth="1"/>
    <col min="2" max="2" width="21.00390625" style="0" bestFit="1" customWidth="1"/>
    <col min="3" max="3" width="23.8515625" style="0" bestFit="1" customWidth="1"/>
    <col min="4" max="4" width="43.140625" style="0" customWidth="1"/>
    <col min="5" max="5" width="29.00390625" style="0" bestFit="1" customWidth="1"/>
    <col min="6" max="6" width="20.7109375" style="0" bestFit="1" customWidth="1"/>
    <col min="7" max="7" width="13.00390625" style="0" bestFit="1" customWidth="1"/>
    <col min="10" max="10" width="15.28125" style="0" bestFit="1" customWidth="1"/>
  </cols>
  <sheetData>
    <row r="3" spans="1:12" s="13" customFormat="1" ht="40.5" customHeight="1">
      <c r="A3" s="62"/>
      <c r="B3" s="53"/>
      <c r="C3" s="77" t="s">
        <v>39</v>
      </c>
      <c r="D3" s="77" t="s">
        <v>40</v>
      </c>
      <c r="E3" s="77" t="s">
        <v>41</v>
      </c>
      <c r="F3" s="77" t="s">
        <v>42</v>
      </c>
      <c r="G3" s="77" t="s">
        <v>43</v>
      </c>
      <c r="H3" s="77" t="s">
        <v>44</v>
      </c>
      <c r="I3" s="78" t="s">
        <v>45</v>
      </c>
      <c r="J3" s="78" t="s">
        <v>46</v>
      </c>
      <c r="K3" s="78" t="s">
        <v>47</v>
      </c>
      <c r="L3" s="78" t="s">
        <v>48</v>
      </c>
    </row>
    <row r="4" spans="1:12" ht="12.75">
      <c r="A4" s="102" t="s">
        <v>49</v>
      </c>
      <c r="B4" s="79"/>
      <c r="C4" s="79"/>
      <c r="D4" s="64" t="s">
        <v>50</v>
      </c>
      <c r="E4" s="64" t="s">
        <v>51</v>
      </c>
      <c r="F4" s="79"/>
      <c r="G4" s="79"/>
      <c r="H4" s="79"/>
      <c r="I4" s="80"/>
      <c r="J4" s="79"/>
      <c r="K4" s="80"/>
      <c r="L4" s="80"/>
    </row>
    <row r="5" spans="1:12" ht="12.75">
      <c r="A5" s="102"/>
      <c r="B5" s="64" t="s">
        <v>52</v>
      </c>
      <c r="C5" s="65">
        <v>23859.4</v>
      </c>
      <c r="D5" s="66">
        <f>(C5/104)*1000</f>
        <v>229417.3076923077</v>
      </c>
      <c r="E5" s="67">
        <f>D5/(300*15)/2</f>
        <v>25.490811965811965</v>
      </c>
      <c r="F5" s="66">
        <v>103.296</v>
      </c>
      <c r="G5" s="66">
        <f>0.95*60</f>
        <v>57</v>
      </c>
      <c r="H5" s="66">
        <f>98.48</f>
        <v>98.48</v>
      </c>
      <c r="I5" s="68">
        <f>H5+G5+F5/2</f>
        <v>207.12800000000001</v>
      </c>
      <c r="J5" s="66">
        <v>2727.4739010989015</v>
      </c>
      <c r="K5" s="68">
        <f>I5*E5*2+J5</f>
        <v>13287.195702808303</v>
      </c>
      <c r="L5" s="68">
        <f>K5*104</f>
        <v>1381868.3530920635</v>
      </c>
    </row>
    <row r="6" spans="1:12" ht="12.75">
      <c r="A6" s="102"/>
      <c r="B6" s="64" t="s">
        <v>53</v>
      </c>
      <c r="C6" s="65">
        <v>79257.19</v>
      </c>
      <c r="D6" s="66">
        <f>(C6/104)*1000</f>
        <v>762088.3653846154</v>
      </c>
      <c r="E6" s="67">
        <f>(D6/600)/15/2</f>
        <v>42.33824252136752</v>
      </c>
      <c r="F6" s="66">
        <v>103.296</v>
      </c>
      <c r="G6" s="66">
        <f>0.95*60</f>
        <v>57</v>
      </c>
      <c r="H6" s="66">
        <f>98.48</f>
        <v>98.48</v>
      </c>
      <c r="I6" s="68">
        <f>H6+G6+F6/2</f>
        <v>207.12800000000001</v>
      </c>
      <c r="J6" s="66">
        <v>2697.438186813187</v>
      </c>
      <c r="K6" s="68">
        <f>I6*E6*2+J6</f>
        <v>20236.30918074481</v>
      </c>
      <c r="L6" s="68">
        <f>K6*104</f>
        <v>2104576.1547974604</v>
      </c>
    </row>
    <row r="7" spans="1:12" ht="12.75">
      <c r="A7" s="102"/>
      <c r="B7" s="64" t="s">
        <v>54</v>
      </c>
      <c r="C7" s="65">
        <v>12661.24</v>
      </c>
      <c r="D7" s="66">
        <f>(C7/104)*1000</f>
        <v>121742.69230769231</v>
      </c>
      <c r="E7" s="67">
        <f>D7/100/15/2</f>
        <v>40.58089743589744</v>
      </c>
      <c r="F7" s="66">
        <v>103.296</v>
      </c>
      <c r="G7" s="66">
        <f>0.95*60</f>
        <v>57</v>
      </c>
      <c r="H7" s="66">
        <f>98.48</f>
        <v>98.48</v>
      </c>
      <c r="I7" s="68">
        <f>H7+G7+F7/2</f>
        <v>207.12800000000001</v>
      </c>
      <c r="J7" s="66">
        <v>2647.7637362637365</v>
      </c>
      <c r="K7" s="68">
        <f>I7*E7*2+J7</f>
        <v>19458.64398446887</v>
      </c>
      <c r="L7" s="68">
        <f>K7*104</f>
        <v>2023698.9743847623</v>
      </c>
    </row>
    <row r="8" spans="1:12" ht="12.75">
      <c r="A8" s="62"/>
      <c r="B8" s="79"/>
      <c r="C8" s="69"/>
      <c r="D8" s="66"/>
      <c r="E8" s="67"/>
      <c r="F8" s="66"/>
      <c r="G8" s="66"/>
      <c r="H8" s="66"/>
      <c r="I8" s="68"/>
      <c r="J8" s="66"/>
      <c r="K8" s="68"/>
      <c r="L8" s="68"/>
    </row>
    <row r="9" spans="1:12" ht="12.75">
      <c r="A9" s="103" t="s">
        <v>55</v>
      </c>
      <c r="B9" s="64" t="s">
        <v>52</v>
      </c>
      <c r="C9" s="68">
        <v>26396.28342</v>
      </c>
      <c r="D9" s="66">
        <f>(C9/104)*1000</f>
        <v>253810.4175</v>
      </c>
      <c r="E9" s="67">
        <f>D9/300/15/2</f>
        <v>28.2011575</v>
      </c>
      <c r="F9" s="66">
        <v>103.296</v>
      </c>
      <c r="G9" s="66">
        <f aca="true" t="shared" si="0" ref="G9:G15">0.95*60</f>
        <v>57</v>
      </c>
      <c r="H9" s="66">
        <f aca="true" t="shared" si="1" ref="H9:H15">98.48</f>
        <v>98.48</v>
      </c>
      <c r="I9" s="68">
        <v>207.128</v>
      </c>
      <c r="J9" s="66">
        <v>2727.4739010989015</v>
      </c>
      <c r="K9" s="68">
        <f>I9*E9*2+J9</f>
        <v>14409.9726024189</v>
      </c>
      <c r="L9" s="68">
        <f>K9*104</f>
        <v>1498637.1506515658</v>
      </c>
    </row>
    <row r="10" spans="1:12" ht="12.75">
      <c r="A10" s="103"/>
      <c r="B10" s="64" t="s">
        <v>53</v>
      </c>
      <c r="C10" s="68">
        <v>87581.51473</v>
      </c>
      <c r="D10" s="66">
        <f>(C10/104)*1000</f>
        <v>842129.949326923</v>
      </c>
      <c r="E10" s="67">
        <f>D10/600/15/2</f>
        <v>46.78499718482906</v>
      </c>
      <c r="F10" s="66">
        <v>103.296</v>
      </c>
      <c r="G10" s="66">
        <f t="shared" si="0"/>
        <v>57</v>
      </c>
      <c r="H10" s="66">
        <f t="shared" si="1"/>
        <v>98.48</v>
      </c>
      <c r="I10" s="68">
        <v>207.128</v>
      </c>
      <c r="J10" s="66">
        <v>2697.438186813187</v>
      </c>
      <c r="K10" s="68">
        <f>I10*E10*2+J10</f>
        <v>22078.403980611733</v>
      </c>
      <c r="L10" s="68">
        <f>K10*104</f>
        <v>2296154.0139836203</v>
      </c>
    </row>
    <row r="11" spans="1:12" ht="12.75">
      <c r="A11" s="103"/>
      <c r="B11" s="64" t="s">
        <v>54</v>
      </c>
      <c r="C11" s="68">
        <v>14020.00401</v>
      </c>
      <c r="D11" s="66">
        <f>(C11/104)*1000</f>
        <v>134807.73086538463</v>
      </c>
      <c r="E11" s="67">
        <f>D11/100/15/2</f>
        <v>44.93591028846154</v>
      </c>
      <c r="F11" s="66">
        <v>103.296</v>
      </c>
      <c r="G11" s="66">
        <f t="shared" si="0"/>
        <v>57</v>
      </c>
      <c r="H11" s="66">
        <f t="shared" si="1"/>
        <v>98.48</v>
      </c>
      <c r="I11" s="68">
        <v>207.128</v>
      </c>
      <c r="J11" s="66">
        <v>2647.7637362637365</v>
      </c>
      <c r="K11" s="68">
        <f>I11*E11*2+J11</f>
        <v>21262.73418872066</v>
      </c>
      <c r="L11" s="68">
        <f>K11*104</f>
        <v>2211324.3556269486</v>
      </c>
    </row>
    <row r="12" spans="1:12" ht="12.75">
      <c r="A12" s="62"/>
      <c r="B12" s="79"/>
      <c r="C12" s="66"/>
      <c r="D12" s="66"/>
      <c r="E12" s="66"/>
      <c r="F12" s="66"/>
      <c r="G12" s="66"/>
      <c r="H12" s="66"/>
      <c r="I12" s="68"/>
      <c r="J12" s="66"/>
      <c r="K12" s="68"/>
      <c r="L12" s="68"/>
    </row>
    <row r="13" spans="1:12" ht="12.75">
      <c r="A13" s="104" t="s">
        <v>56</v>
      </c>
      <c r="B13" s="64" t="s">
        <v>52</v>
      </c>
      <c r="C13" s="68">
        <v>27044.1</v>
      </c>
      <c r="D13" s="66">
        <f>C13/104*1000</f>
        <v>260039.42307692306</v>
      </c>
      <c r="E13" s="67">
        <f>D13/300/15/2</f>
        <v>28.89326923076923</v>
      </c>
      <c r="F13" s="66">
        <v>103.296</v>
      </c>
      <c r="G13" s="66">
        <f t="shared" si="0"/>
        <v>57</v>
      </c>
      <c r="H13" s="66">
        <f t="shared" si="1"/>
        <v>98.48</v>
      </c>
      <c r="I13" s="68">
        <v>207.128</v>
      </c>
      <c r="J13" s="66">
        <v>2842.995879120879</v>
      </c>
      <c r="K13" s="68">
        <f>I13*E13*2+J13</f>
        <v>14812.206017582417</v>
      </c>
      <c r="L13" s="68">
        <f>K13*104</f>
        <v>1540469.4258285714</v>
      </c>
    </row>
    <row r="14" spans="1:12" ht="12.75">
      <c r="A14" s="104"/>
      <c r="B14" s="64" t="s">
        <v>53</v>
      </c>
      <c r="C14" s="68">
        <v>93141.17</v>
      </c>
      <c r="D14" s="66">
        <f>C14/104*1000</f>
        <v>895588.1730769231</v>
      </c>
      <c r="E14" s="67">
        <f>D14/600/15/2</f>
        <v>49.754898504273505</v>
      </c>
      <c r="F14" s="66">
        <v>103.296</v>
      </c>
      <c r="G14" s="66">
        <f t="shared" si="0"/>
        <v>57</v>
      </c>
      <c r="H14" s="66">
        <f t="shared" si="1"/>
        <v>98.48</v>
      </c>
      <c r="I14" s="68">
        <v>207.128</v>
      </c>
      <c r="J14" s="66">
        <v>2812.960164835165</v>
      </c>
      <c r="K14" s="68">
        <f>I14*E14*2+J14</f>
        <v>23424.225399621486</v>
      </c>
      <c r="L14" s="68">
        <f>K14*104</f>
        <v>2436119.4415606344</v>
      </c>
    </row>
    <row r="15" spans="1:12" ht="12.75">
      <c r="A15" s="104"/>
      <c r="B15" s="64" t="s">
        <v>54</v>
      </c>
      <c r="C15" s="68">
        <v>14745.18</v>
      </c>
      <c r="D15" s="66">
        <f>C15/104*1000</f>
        <v>141780.5769230769</v>
      </c>
      <c r="E15" s="67">
        <f>D15/100/15/2</f>
        <v>47.2601923076923</v>
      </c>
      <c r="F15" s="66">
        <v>103.296</v>
      </c>
      <c r="G15" s="66">
        <f t="shared" si="0"/>
        <v>57</v>
      </c>
      <c r="H15" s="66">
        <f t="shared" si="1"/>
        <v>98.48</v>
      </c>
      <c r="I15" s="68">
        <v>207.128</v>
      </c>
      <c r="J15" s="66">
        <v>2763.285714285714</v>
      </c>
      <c r="K15" s="68">
        <f>I15*E15*2+J15</f>
        <v>22341.103938901095</v>
      </c>
      <c r="L15" s="68">
        <f>K15*104</f>
        <v>2323474.809645714</v>
      </c>
    </row>
    <row r="16" spans="1:12" ht="12.75">
      <c r="A16" s="63" t="s">
        <v>57</v>
      </c>
      <c r="B16" s="79"/>
      <c r="C16" s="66"/>
      <c r="D16" s="66"/>
      <c r="E16" s="66"/>
      <c r="F16" s="66"/>
      <c r="G16" s="66"/>
      <c r="H16" s="66"/>
      <c r="I16" s="68"/>
      <c r="J16" s="66"/>
      <c r="K16" s="68"/>
      <c r="L16" s="68"/>
    </row>
    <row r="17" spans="1:12" ht="12.75">
      <c r="A17" s="81" t="s">
        <v>58</v>
      </c>
      <c r="B17" s="64" t="s">
        <v>52</v>
      </c>
      <c r="C17" s="70">
        <f aca="true" t="shared" si="2" ref="C17:L17">C9-C5</f>
        <v>2536.8834199999983</v>
      </c>
      <c r="D17" s="70">
        <f t="shared" si="2"/>
        <v>24393.109807692323</v>
      </c>
      <c r="E17" s="71">
        <f t="shared" si="2"/>
        <v>2.7103455341880363</v>
      </c>
      <c r="F17" s="71">
        <f t="shared" si="2"/>
        <v>0</v>
      </c>
      <c r="G17" s="71">
        <f t="shared" si="2"/>
        <v>0</v>
      </c>
      <c r="H17" s="71">
        <f t="shared" si="2"/>
        <v>0</v>
      </c>
      <c r="I17" s="72">
        <f t="shared" si="2"/>
        <v>0</v>
      </c>
      <c r="J17" s="70">
        <f t="shared" si="2"/>
        <v>0</v>
      </c>
      <c r="K17" s="73">
        <f t="shared" si="2"/>
        <v>1122.776899610597</v>
      </c>
      <c r="L17" s="73">
        <f t="shared" si="2"/>
        <v>116768.7975595023</v>
      </c>
    </row>
    <row r="18" spans="1:12" ht="12.75">
      <c r="A18" s="63"/>
      <c r="B18" s="64" t="s">
        <v>53</v>
      </c>
      <c r="C18" s="70">
        <f aca="true" t="shared" si="3" ref="C18:L18">C10-C6</f>
        <v>8324.324729999993</v>
      </c>
      <c r="D18" s="70">
        <f t="shared" si="3"/>
        <v>80041.58394230762</v>
      </c>
      <c r="E18" s="71">
        <f t="shared" si="3"/>
        <v>4.44675466346154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2">
        <f t="shared" si="3"/>
        <v>0</v>
      </c>
      <c r="J18" s="70">
        <f t="shared" si="3"/>
        <v>0</v>
      </c>
      <c r="K18" s="73">
        <f t="shared" si="3"/>
        <v>1842.0947998669217</v>
      </c>
      <c r="L18" s="73">
        <f t="shared" si="3"/>
        <v>191577.8591861599</v>
      </c>
    </row>
    <row r="19" spans="1:12" ht="12.75">
      <c r="A19" s="63"/>
      <c r="B19" s="64" t="s">
        <v>54</v>
      </c>
      <c r="C19" s="70">
        <f aca="true" t="shared" si="4" ref="C19:L19">C11-C7</f>
        <v>1358.7640100000008</v>
      </c>
      <c r="D19" s="70">
        <f t="shared" si="4"/>
        <v>13065.038557692314</v>
      </c>
      <c r="E19" s="71">
        <f t="shared" si="4"/>
        <v>4.355012852564101</v>
      </c>
      <c r="F19" s="71">
        <f t="shared" si="4"/>
        <v>0</v>
      </c>
      <c r="G19" s="71">
        <f t="shared" si="4"/>
        <v>0</v>
      </c>
      <c r="H19" s="71">
        <f t="shared" si="4"/>
        <v>0</v>
      </c>
      <c r="I19" s="72">
        <f t="shared" si="4"/>
        <v>0</v>
      </c>
      <c r="J19" s="70">
        <f t="shared" si="4"/>
        <v>0</v>
      </c>
      <c r="K19" s="73">
        <f t="shared" si="4"/>
        <v>1804.0902042517919</v>
      </c>
      <c r="L19" s="73">
        <f t="shared" si="4"/>
        <v>187625.3812421863</v>
      </c>
    </row>
    <row r="20" spans="1:12" ht="12.75">
      <c r="A20" s="63"/>
      <c r="B20" s="79"/>
      <c r="C20" s="66"/>
      <c r="D20" s="66"/>
      <c r="E20" s="71"/>
      <c r="F20" s="71"/>
      <c r="G20" s="71"/>
      <c r="H20" s="71"/>
      <c r="I20" s="72"/>
      <c r="J20" s="66"/>
      <c r="K20" s="68"/>
      <c r="L20" s="68"/>
    </row>
    <row r="21" spans="1:12" ht="12.75">
      <c r="A21" s="81" t="s">
        <v>59</v>
      </c>
      <c r="B21" s="64" t="s">
        <v>52</v>
      </c>
      <c r="C21" s="70">
        <f aca="true" t="shared" si="5" ref="C21:L21">C13-C5</f>
        <v>3184.699999999997</v>
      </c>
      <c r="D21" s="70">
        <f t="shared" si="5"/>
        <v>30622.115384615376</v>
      </c>
      <c r="E21" s="71">
        <f t="shared" si="5"/>
        <v>3.402457264957267</v>
      </c>
      <c r="F21" s="71">
        <f t="shared" si="5"/>
        <v>0</v>
      </c>
      <c r="G21" s="71">
        <f t="shared" si="5"/>
        <v>0</v>
      </c>
      <c r="H21" s="71">
        <f t="shared" si="5"/>
        <v>0</v>
      </c>
      <c r="I21" s="72">
        <f t="shared" si="5"/>
        <v>0</v>
      </c>
      <c r="J21" s="70">
        <f t="shared" si="5"/>
        <v>115.5219780219777</v>
      </c>
      <c r="K21" s="73">
        <f t="shared" si="5"/>
        <v>1525.0103147741138</v>
      </c>
      <c r="L21" s="73">
        <f t="shared" si="5"/>
        <v>158601.07273650798</v>
      </c>
    </row>
    <row r="22" spans="1:12" ht="12.75">
      <c r="A22" s="63"/>
      <c r="B22" s="64" t="s">
        <v>53</v>
      </c>
      <c r="C22" s="70">
        <f aca="true" t="shared" si="6" ref="C22:L22">C14-C6</f>
        <v>13883.979999999996</v>
      </c>
      <c r="D22" s="70">
        <f t="shared" si="6"/>
        <v>133499.80769230775</v>
      </c>
      <c r="E22" s="71">
        <f t="shared" si="6"/>
        <v>7.416655982905986</v>
      </c>
      <c r="F22" s="71">
        <f t="shared" si="6"/>
        <v>0</v>
      </c>
      <c r="G22" s="71">
        <f t="shared" si="6"/>
        <v>0</v>
      </c>
      <c r="H22" s="71">
        <f t="shared" si="6"/>
        <v>0</v>
      </c>
      <c r="I22" s="72">
        <f t="shared" si="6"/>
        <v>0</v>
      </c>
      <c r="J22" s="70">
        <f t="shared" si="6"/>
        <v>115.52197802197816</v>
      </c>
      <c r="K22" s="73">
        <f t="shared" si="6"/>
        <v>3187.916218876675</v>
      </c>
      <c r="L22" s="73">
        <f t="shared" si="6"/>
        <v>331543.286763174</v>
      </c>
    </row>
    <row r="23" spans="1:12" ht="12.75">
      <c r="A23" s="63"/>
      <c r="B23" s="64" t="s">
        <v>54</v>
      </c>
      <c r="C23" s="70">
        <f aca="true" t="shared" si="7" ref="C23:L23">C15-C7</f>
        <v>2083.9400000000005</v>
      </c>
      <c r="D23" s="70">
        <f t="shared" si="7"/>
        <v>20037.884615384595</v>
      </c>
      <c r="E23" s="71">
        <f t="shared" si="7"/>
        <v>6.679294871794859</v>
      </c>
      <c r="F23" s="71">
        <f t="shared" si="7"/>
        <v>0</v>
      </c>
      <c r="G23" s="71">
        <f t="shared" si="7"/>
        <v>0</v>
      </c>
      <c r="H23" s="71">
        <f t="shared" si="7"/>
        <v>0</v>
      </c>
      <c r="I23" s="72">
        <f t="shared" si="7"/>
        <v>0</v>
      </c>
      <c r="J23" s="70">
        <f t="shared" si="7"/>
        <v>115.5219780219777</v>
      </c>
      <c r="K23" s="73">
        <f t="shared" si="7"/>
        <v>2882.4599544322264</v>
      </c>
      <c r="L23" s="73">
        <f t="shared" si="7"/>
        <v>299775.8352609514</v>
      </c>
    </row>
    <row r="24" spans="1:12" ht="12.75">
      <c r="A24" s="63"/>
      <c r="B24" s="79"/>
      <c r="C24" s="66"/>
      <c r="D24" s="66"/>
      <c r="E24" s="66"/>
      <c r="F24" s="66"/>
      <c r="G24" s="66"/>
      <c r="H24" s="66"/>
      <c r="I24" s="68"/>
      <c r="J24" s="66"/>
      <c r="K24" s="68"/>
      <c r="L24" s="68"/>
    </row>
    <row r="25" spans="1:12" ht="12.75">
      <c r="A25" s="63"/>
      <c r="B25" s="79"/>
      <c r="C25" s="66"/>
      <c r="D25" s="66"/>
      <c r="E25" s="66"/>
      <c r="F25" s="66"/>
      <c r="G25" s="66"/>
      <c r="H25" s="66"/>
      <c r="I25" s="68"/>
      <c r="J25" s="66"/>
      <c r="K25" s="68"/>
      <c r="L25" s="68"/>
    </row>
    <row r="26" spans="1:12" ht="12.75">
      <c r="A26" s="81" t="s">
        <v>60</v>
      </c>
      <c r="B26" s="64" t="s">
        <v>52</v>
      </c>
      <c r="C26" s="74">
        <f aca="true" t="shared" si="8" ref="C26:L26">C13-C9</f>
        <v>647.8165799999988</v>
      </c>
      <c r="D26" s="74">
        <f t="shared" si="8"/>
        <v>6229.005576923053</v>
      </c>
      <c r="E26" s="67">
        <f t="shared" si="8"/>
        <v>0.6921117307692306</v>
      </c>
      <c r="F26" s="67">
        <f t="shared" si="8"/>
        <v>0</v>
      </c>
      <c r="G26" s="67">
        <f t="shared" si="8"/>
        <v>0</v>
      </c>
      <c r="H26" s="67">
        <f t="shared" si="8"/>
        <v>0</v>
      </c>
      <c r="I26" s="75">
        <f t="shared" si="8"/>
        <v>0</v>
      </c>
      <c r="J26" s="67">
        <f t="shared" si="8"/>
        <v>115.5219780219777</v>
      </c>
      <c r="K26" s="76">
        <f t="shared" si="8"/>
        <v>402.23341516351684</v>
      </c>
      <c r="L26" s="76">
        <f t="shared" si="8"/>
        <v>41832.27517700568</v>
      </c>
    </row>
    <row r="27" spans="1:12" ht="12.75">
      <c r="A27" s="62"/>
      <c r="B27" s="64" t="s">
        <v>53</v>
      </c>
      <c r="C27" s="74">
        <f aca="true" t="shared" si="9" ref="C27:L27">C14-C10</f>
        <v>5559.655270000003</v>
      </c>
      <c r="D27" s="74">
        <f t="shared" si="9"/>
        <v>53458.22375000012</v>
      </c>
      <c r="E27" s="67">
        <f t="shared" si="9"/>
        <v>2.969901319444446</v>
      </c>
      <c r="F27" s="67">
        <f t="shared" si="9"/>
        <v>0</v>
      </c>
      <c r="G27" s="67">
        <f t="shared" si="9"/>
        <v>0</v>
      </c>
      <c r="H27" s="67">
        <f t="shared" si="9"/>
        <v>0</v>
      </c>
      <c r="I27" s="75">
        <f t="shared" si="9"/>
        <v>0</v>
      </c>
      <c r="J27" s="67">
        <f t="shared" si="9"/>
        <v>115.52197802197816</v>
      </c>
      <c r="K27" s="76">
        <f t="shared" si="9"/>
        <v>1345.8214190097533</v>
      </c>
      <c r="L27" s="76">
        <f t="shared" si="9"/>
        <v>139965.42757701408</v>
      </c>
    </row>
    <row r="28" spans="1:12" ht="12.75">
      <c r="A28" s="62"/>
      <c r="B28" s="64" t="s">
        <v>54</v>
      </c>
      <c r="C28" s="74">
        <f aca="true" t="shared" si="10" ref="C28:L28">C15-C11</f>
        <v>725.1759899999997</v>
      </c>
      <c r="D28" s="74">
        <f t="shared" si="10"/>
        <v>6972.846057692281</v>
      </c>
      <c r="E28" s="67">
        <f t="shared" si="10"/>
        <v>2.3242820192307576</v>
      </c>
      <c r="F28" s="67">
        <f t="shared" si="10"/>
        <v>0</v>
      </c>
      <c r="G28" s="67">
        <f t="shared" si="10"/>
        <v>0</v>
      </c>
      <c r="H28" s="67">
        <f t="shared" si="10"/>
        <v>0</v>
      </c>
      <c r="I28" s="75">
        <f t="shared" si="10"/>
        <v>0</v>
      </c>
      <c r="J28" s="67">
        <f t="shared" si="10"/>
        <v>115.5219780219777</v>
      </c>
      <c r="K28" s="76">
        <f t="shared" si="10"/>
        <v>1078.3697501804345</v>
      </c>
      <c r="L28" s="76">
        <f t="shared" si="10"/>
        <v>112150.45401876513</v>
      </c>
    </row>
  </sheetData>
  <mergeCells count="3">
    <mergeCell ref="A4:A7"/>
    <mergeCell ref="A9:A11"/>
    <mergeCell ref="A13:A15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25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20.140625" style="0" customWidth="1"/>
    <col min="2" max="2" width="21.7109375" style="0" bestFit="1" customWidth="1"/>
    <col min="3" max="3" width="21.8515625" style="0" bestFit="1" customWidth="1"/>
  </cols>
  <sheetData>
    <row r="3" spans="2:6" ht="12.75">
      <c r="B3" s="82"/>
      <c r="C3" s="86" t="s">
        <v>61</v>
      </c>
      <c r="D3" s="84"/>
      <c r="E3" s="64"/>
      <c r="F3" s="64"/>
    </row>
    <row r="4" spans="2:6" ht="12.75">
      <c r="B4" s="85"/>
      <c r="C4" s="85"/>
      <c r="D4" s="64"/>
      <c r="E4" s="64"/>
      <c r="F4" s="64"/>
    </row>
    <row r="5" spans="2:6" ht="12.75">
      <c r="B5" s="6"/>
      <c r="C5" s="6"/>
      <c r="D5" s="6"/>
      <c r="E5" s="6"/>
      <c r="F5" s="6"/>
    </row>
    <row r="6" spans="2:6" ht="12.75">
      <c r="B6" s="6"/>
      <c r="C6" s="6" t="s">
        <v>22</v>
      </c>
      <c r="D6" s="6" t="s">
        <v>62</v>
      </c>
      <c r="E6" s="6" t="s">
        <v>23</v>
      </c>
      <c r="F6" s="6" t="s">
        <v>24</v>
      </c>
    </row>
    <row r="7" spans="2:6" ht="12.75">
      <c r="B7" s="6" t="s">
        <v>63</v>
      </c>
      <c r="C7" s="6">
        <v>2361</v>
      </c>
      <c r="D7" s="6">
        <v>6140</v>
      </c>
      <c r="E7" s="6">
        <v>2335</v>
      </c>
      <c r="F7" s="6">
        <v>2292</v>
      </c>
    </row>
    <row r="8" spans="2:6" ht="12.75">
      <c r="B8" s="6" t="s">
        <v>64</v>
      </c>
      <c r="C8" s="6">
        <v>841</v>
      </c>
      <c r="D8" s="6">
        <v>841</v>
      </c>
      <c r="E8" s="6">
        <v>841</v>
      </c>
      <c r="F8" s="6">
        <v>841</v>
      </c>
    </row>
    <row r="9" spans="2:6" ht="12.75">
      <c r="B9" s="6" t="s">
        <v>65</v>
      </c>
      <c r="C9" s="6">
        <f>C7*C8</f>
        <v>1985601</v>
      </c>
      <c r="D9" s="6">
        <f>D7*D8</f>
        <v>5163740</v>
      </c>
      <c r="E9" s="6">
        <f>E7*E8</f>
        <v>1963735</v>
      </c>
      <c r="F9" s="6">
        <f>F7*F8</f>
        <v>1927572</v>
      </c>
    </row>
    <row r="10" spans="2:6" ht="12.75">
      <c r="B10" s="6" t="s">
        <v>66</v>
      </c>
      <c r="C10" s="6">
        <v>7</v>
      </c>
      <c r="D10" s="6">
        <v>7</v>
      </c>
      <c r="E10" s="6">
        <v>7</v>
      </c>
      <c r="F10" s="6">
        <v>7</v>
      </c>
    </row>
    <row r="11" spans="2:6" ht="12.75">
      <c r="B11" s="6" t="s">
        <v>67</v>
      </c>
      <c r="C11" s="6">
        <f>C9/7</f>
        <v>283657.28571428574</v>
      </c>
      <c r="D11" s="6">
        <f>D9/7</f>
        <v>737677.1428571428</v>
      </c>
      <c r="E11" s="6">
        <f>E9/7</f>
        <v>280533.5714285714</v>
      </c>
      <c r="F11" s="6">
        <f>F9/7</f>
        <v>275367.4285714286</v>
      </c>
    </row>
    <row r="12" spans="2:12" ht="12.75">
      <c r="B12" s="6" t="s">
        <v>68</v>
      </c>
      <c r="C12" s="6">
        <v>104</v>
      </c>
      <c r="D12" s="6">
        <v>261</v>
      </c>
      <c r="E12" s="6">
        <v>104</v>
      </c>
      <c r="F12" s="6">
        <f>104</f>
        <v>104</v>
      </c>
      <c r="I12" s="35"/>
      <c r="J12" s="35"/>
      <c r="K12" s="35"/>
      <c r="L12" s="35"/>
    </row>
    <row r="13" spans="2:12" ht="12.75">
      <c r="B13" s="6" t="s">
        <v>69</v>
      </c>
      <c r="C13" s="6">
        <f>C11/C12</f>
        <v>2727.4739010989015</v>
      </c>
      <c r="D13" s="6">
        <f>D11/261</f>
        <v>2826.3492063492063</v>
      </c>
      <c r="E13" s="6">
        <f>E11/104</f>
        <v>2697.438186813187</v>
      </c>
      <c r="F13" s="6">
        <f>F11/104</f>
        <v>2647.7637362637365</v>
      </c>
      <c r="I13" s="35"/>
      <c r="J13" s="35"/>
      <c r="K13" s="35"/>
      <c r="L13" s="35"/>
    </row>
    <row r="14" spans="2:12" ht="12.75">
      <c r="B14" s="6"/>
      <c r="C14" s="6"/>
      <c r="D14" s="6"/>
      <c r="E14" s="6"/>
      <c r="F14" s="6"/>
      <c r="I14" s="35"/>
      <c r="J14" s="35"/>
      <c r="K14" s="35"/>
      <c r="L14" s="35"/>
    </row>
    <row r="15" spans="2:12" ht="12.75">
      <c r="B15" s="6"/>
      <c r="C15" s="6"/>
      <c r="D15" s="6"/>
      <c r="E15" s="6"/>
      <c r="F15" s="6"/>
      <c r="I15" s="35"/>
      <c r="J15" s="35"/>
      <c r="K15" s="35"/>
      <c r="L15" s="35"/>
    </row>
    <row r="16" spans="2:12" ht="12.75">
      <c r="B16" s="6"/>
      <c r="C16" s="6"/>
      <c r="D16" s="6"/>
      <c r="E16" s="6"/>
      <c r="F16" s="6"/>
      <c r="I16" s="35"/>
      <c r="J16" s="35"/>
      <c r="K16" s="35"/>
      <c r="L16" s="35"/>
    </row>
    <row r="17" spans="2:12" ht="12.75">
      <c r="B17" s="83" t="s">
        <v>70</v>
      </c>
      <c r="C17" s="6"/>
      <c r="D17" s="6"/>
      <c r="E17" s="6"/>
      <c r="F17" s="6"/>
      <c r="I17" s="35"/>
      <c r="J17" s="35"/>
      <c r="K17" s="35"/>
      <c r="L17" s="35"/>
    </row>
    <row r="18" spans="2:12" ht="12.75">
      <c r="B18" s="6" t="s">
        <v>63</v>
      </c>
      <c r="C18" s="6">
        <v>2461</v>
      </c>
      <c r="D18" s="6"/>
      <c r="E18" s="6">
        <v>2435</v>
      </c>
      <c r="F18" s="6">
        <v>2392</v>
      </c>
      <c r="I18" s="35"/>
      <c r="J18" s="35"/>
      <c r="K18" s="35"/>
      <c r="L18" s="35"/>
    </row>
    <row r="19" spans="2:6" ht="12.75">
      <c r="B19" s="6" t="s">
        <v>65</v>
      </c>
      <c r="C19" s="6">
        <f>C18*841</f>
        <v>2069701</v>
      </c>
      <c r="D19" s="6"/>
      <c r="E19" s="6">
        <f>E18*841</f>
        <v>2047835</v>
      </c>
      <c r="F19" s="6">
        <f>F18*841</f>
        <v>2011672</v>
      </c>
    </row>
    <row r="20" spans="2:6" ht="12.75">
      <c r="B20" s="6" t="s">
        <v>67</v>
      </c>
      <c r="C20" s="6">
        <f>C19/7</f>
        <v>295671.5714285714</v>
      </c>
      <c r="D20" s="6"/>
      <c r="E20" s="6">
        <f>E19/7</f>
        <v>292547.85714285716</v>
      </c>
      <c r="F20" s="6">
        <f>F19/7</f>
        <v>287381.71428571426</v>
      </c>
    </row>
    <row r="21" spans="2:6" ht="12.75">
      <c r="B21" s="6" t="s">
        <v>71</v>
      </c>
      <c r="C21" s="6">
        <f>C20/104</f>
        <v>2842.995879120879</v>
      </c>
      <c r="D21" s="6"/>
      <c r="E21" s="6">
        <f>E20/104</f>
        <v>2812.960164835165</v>
      </c>
      <c r="F21" s="6">
        <f>F20/104</f>
        <v>2763.285714285714</v>
      </c>
    </row>
    <row r="23" ht="12.75">
      <c r="B23" s="35"/>
    </row>
    <row r="24" ht="12.75">
      <c r="B24" s="35"/>
    </row>
    <row r="25" ht="12.75">
      <c r="B25" s="35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G17"/>
  <sheetViews>
    <sheetView zoomScale="75" zoomScaleNormal="75" workbookViewId="0" topLeftCell="A1">
      <selection activeCell="D23" sqref="D23"/>
    </sheetView>
  </sheetViews>
  <sheetFormatPr defaultColWidth="11.421875" defaultRowHeight="12.75"/>
  <cols>
    <col min="2" max="2" width="20.421875" style="0" customWidth="1"/>
    <col min="3" max="4" width="11.57421875" style="0" bestFit="1" customWidth="1"/>
    <col min="5" max="5" width="12.00390625" style="0" bestFit="1" customWidth="1"/>
    <col min="6" max="6" width="24.00390625" style="0" bestFit="1" customWidth="1"/>
    <col min="7" max="7" width="26.57421875" style="0" bestFit="1" customWidth="1"/>
  </cols>
  <sheetData>
    <row r="5" ht="13.5" thickBot="1"/>
    <row r="6" spans="2:5" ht="13.5" thickBot="1">
      <c r="B6" s="91" t="s">
        <v>83</v>
      </c>
      <c r="C6" s="92"/>
      <c r="D6" s="92"/>
      <c r="E6" s="92"/>
    </row>
    <row r="7" spans="2:5" ht="13.5" thickBot="1">
      <c r="B7" s="92"/>
      <c r="C7" s="93" t="s">
        <v>22</v>
      </c>
      <c r="D7" s="93" t="s">
        <v>23</v>
      </c>
      <c r="E7" s="93" t="s">
        <v>72</v>
      </c>
    </row>
    <row r="8" spans="2:5" ht="13.5" thickBot="1">
      <c r="B8" s="93" t="s">
        <v>73</v>
      </c>
      <c r="C8" s="92">
        <v>1041767.26</v>
      </c>
      <c r="D8" s="92">
        <v>2343654.63</v>
      </c>
      <c r="E8" s="92">
        <v>2499013.41</v>
      </c>
    </row>
    <row r="9" spans="2:5" ht="13.5" thickBot="1">
      <c r="B9" s="93" t="s">
        <v>74</v>
      </c>
      <c r="C9" s="92">
        <v>1381868.3530920635</v>
      </c>
      <c r="D9" s="92">
        <v>2104576.1547974604</v>
      </c>
      <c r="E9" s="92">
        <v>2023698.9743847623</v>
      </c>
    </row>
    <row r="10" ht="12.75">
      <c r="D10" s="14"/>
    </row>
    <row r="11" ht="12.75">
      <c r="D11" s="14"/>
    </row>
    <row r="12" ht="13.5" thickBot="1"/>
    <row r="13" spans="2:5" ht="13.5" thickBot="1">
      <c r="B13" s="94" t="s">
        <v>84</v>
      </c>
      <c r="C13" s="95"/>
      <c r="D13" s="97"/>
      <c r="E13" s="96"/>
    </row>
    <row r="14" spans="2:7" ht="26.25" thickBot="1">
      <c r="B14" s="87"/>
      <c r="C14" s="88" t="s">
        <v>77</v>
      </c>
      <c r="D14" s="88" t="s">
        <v>78</v>
      </c>
      <c r="E14" s="88" t="s">
        <v>79</v>
      </c>
      <c r="F14" s="89"/>
      <c r="G14" s="89"/>
    </row>
    <row r="15" spans="2:7" ht="13.5" thickBot="1">
      <c r="B15" s="17" t="s">
        <v>25</v>
      </c>
      <c r="C15" s="15">
        <v>0.01</v>
      </c>
      <c r="D15" s="16">
        <v>9668.9683</v>
      </c>
      <c r="E15" s="16">
        <v>624363.23</v>
      </c>
      <c r="F15" s="90"/>
      <c r="G15" s="90"/>
    </row>
    <row r="16" spans="2:7" ht="13.5" thickBot="1">
      <c r="B16" s="17" t="s">
        <v>80</v>
      </c>
      <c r="C16" s="15">
        <v>0.01</v>
      </c>
      <c r="D16" s="16">
        <v>9668.9683</v>
      </c>
      <c r="E16" s="16">
        <v>277710.1</v>
      </c>
      <c r="F16" s="90"/>
      <c r="G16" s="90"/>
    </row>
    <row r="17" spans="2:7" ht="13.5" thickBot="1">
      <c r="B17" s="17" t="s">
        <v>81</v>
      </c>
      <c r="C17" s="15">
        <v>0.01</v>
      </c>
      <c r="D17" s="16">
        <v>9668.9683</v>
      </c>
      <c r="E17" s="16">
        <v>1495329.02</v>
      </c>
      <c r="F17" s="90"/>
      <c r="G17" s="9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Pompeu Fabra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UPF</dc:creator>
  <cp:keywords/>
  <dc:description/>
  <cp:lastModifiedBy>Manel Pelegrina</cp:lastModifiedBy>
  <cp:lastPrinted>2007-06-14T18:48:17Z</cp:lastPrinted>
  <dcterms:created xsi:type="dcterms:W3CDTF">2007-04-19T10:21:42Z</dcterms:created>
  <dcterms:modified xsi:type="dcterms:W3CDTF">2007-06-14T18:49:53Z</dcterms:modified>
  <cp:category/>
  <cp:version/>
  <cp:contentType/>
  <cp:contentStatus/>
</cp:coreProperties>
</file>